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jsha\Desktop\ROI\GMC ROI\"/>
    </mc:Choice>
  </mc:AlternateContent>
  <xr:revisionPtr revIDLastSave="0" documentId="8_{76BB500A-BFE7-4C1D-B20B-3DC04CFCAD99}" xr6:coauthVersionLast="47" xr6:coauthVersionMax="47" xr10:uidLastSave="{00000000-0000-0000-0000-000000000000}"/>
  <bookViews>
    <workbookView xWindow="810" yWindow="2085" windowWidth="24315" windowHeight="15120" xr2:uid="{00000000-000D-0000-FFFF-FFFF00000000}"/>
  </bookViews>
  <sheets>
    <sheet name="Home" sheetId="54" r:id="rId1"/>
    <sheet name="2026 Sierra LD" sheetId="1" r:id="rId2"/>
    <sheet name="Sierra LD Ref" sheetId="41" state="hidden" r:id="rId3"/>
    <sheet name="2026 Sierra HD" sheetId="5" r:id="rId4"/>
    <sheet name="Sierra HD Ref" sheetId="42" state="hidden" r:id="rId5"/>
    <sheet name="2026 Sierra EV" sheetId="37" r:id="rId6"/>
    <sheet name="Sierra EV Ref" sheetId="43" state="hidden" r:id="rId7"/>
    <sheet name="26 Terrain" sheetId="2" r:id="rId8"/>
    <sheet name="Terrain Ref" sheetId="44" state="hidden" r:id="rId9"/>
    <sheet name="26 Hummer SUT " sheetId="34" r:id="rId10"/>
    <sheet name="26 Hummer SUT Ref" sheetId="45" state="hidden" r:id="rId11"/>
    <sheet name="26 Hummer SUV" sheetId="8" r:id="rId12"/>
    <sheet name="Hummer SUV Ref" sheetId="46" state="hidden" r:id="rId13"/>
    <sheet name="26 Canyon" sheetId="4" r:id="rId14"/>
    <sheet name="Canyon Ref" sheetId="48" state="hidden" r:id="rId15"/>
    <sheet name="26 Acadia" sheetId="6" r:id="rId16"/>
    <sheet name="Acadia Ref" sheetId="49" state="hidden" r:id="rId17"/>
    <sheet name="26 Yukon-XL" sheetId="10" r:id="rId18"/>
    <sheet name="Yukon Ref" sheetId="50" state="hidden" r:id="rId19"/>
  </sheets>
  <definedNames>
    <definedName name="__r88">'Yukon Ref'!$A$2</definedName>
    <definedName name="_5AV">#REF!</definedName>
    <definedName name="_5CH">#REF!</definedName>
    <definedName name="_5DG">#REF!</definedName>
    <definedName name="_5DH">#REF!</definedName>
    <definedName name="_5DK">#REF!</definedName>
    <definedName name="_5DO">#REF!</definedName>
    <definedName name="_5FF">'Yukon Ref'!$A$30</definedName>
    <definedName name="_5FG">'Yukon Ref'!$A$34</definedName>
    <definedName name="_5JL">'Yukon Ref'!$A$26</definedName>
    <definedName name="_5JR">#REF!</definedName>
    <definedName name="_5K2">#REF!</definedName>
    <definedName name="_5K4">#REF!</definedName>
    <definedName name="_5K5">#REF!</definedName>
    <definedName name="_5KA">#REF!</definedName>
    <definedName name="_5KB">#REF!</definedName>
    <definedName name="_5km">'26 Hummer SUT Ref'!$A$48</definedName>
    <definedName name="_5Ru">'Yukon Ref'!$A$17</definedName>
    <definedName name="_5v5">#REF!</definedName>
    <definedName name="_5V7">#REF!</definedName>
    <definedName name="_5WI" localSheetId="14">'Canyon Ref'!$A$3</definedName>
    <definedName name="_5WI">'Sierra EV Ref'!$A$1</definedName>
    <definedName name="_5Y2">'26 Hummer SUT Ref'!$A$53</definedName>
    <definedName name="_5ZS">'26 Hummer SUT Ref'!$A$1</definedName>
    <definedName name="_5ZU">#REF!</definedName>
    <definedName name="_5ZV">#REF!</definedName>
    <definedName name="_5ZW">#REF!</definedName>
    <definedName name="_5ZZ">#REF!</definedName>
    <definedName name="_63G">'26 Hummer SUT Ref'!$A$2</definedName>
    <definedName name="_xlnm._FilterDatabase" localSheetId="5" hidden="1">'2026 Sierra EV'!$A$4:$I$4</definedName>
    <definedName name="_xlnm._FilterDatabase" localSheetId="3" hidden="1">'2026 Sierra HD'!$A$4:$I$4</definedName>
    <definedName name="_xlnm._FilterDatabase" localSheetId="1" hidden="1">'2026 Sierra LD'!$A$4:$I$4</definedName>
    <definedName name="_xlnm._FilterDatabase" localSheetId="15" hidden="1">'26 Acadia'!$A$4:$I$4</definedName>
    <definedName name="_xlnm._FilterDatabase" localSheetId="13" hidden="1">'26 Canyon'!$A$4:$I$4</definedName>
    <definedName name="_xlnm._FilterDatabase" localSheetId="9" hidden="1">'26 Hummer SUT '!$A$4:$I$4</definedName>
    <definedName name="_xlnm._FilterDatabase" localSheetId="11" hidden="1">'26 Hummer SUV'!$A$4:$I$4</definedName>
    <definedName name="_xlnm._FilterDatabase" localSheetId="7" hidden="1">'26 Terrain'!$A$4:$I$4</definedName>
    <definedName name="_xlnm._FilterDatabase" localSheetId="17" hidden="1">'26 Yukon-XL'!$A$4:$I$4</definedName>
    <definedName name="_qb1">'26 Hummer SUT Ref'!$A$3</definedName>
    <definedName name="_qb3">'26 Hummer SUT Ref'!$A$4</definedName>
    <definedName name="_R88" localSheetId="18">'Yukon Ref'!$A$5</definedName>
    <definedName name="_r88">'Acadia Ref'!$A$26</definedName>
    <definedName name="_RN2">'Acadia Ref'!$A$2</definedName>
    <definedName name="_rz9">'Yukon Ref'!$A$5</definedName>
    <definedName name="_S08">#REF!</definedName>
    <definedName name="_S47">#REF!</definedName>
    <definedName name="_SB7">#REF!</definedName>
    <definedName name="_sc8">'26 Hummer SUT Ref'!$A$34</definedName>
    <definedName name="_SC9">'26 Hummer SUT Ref'!$A$54</definedName>
    <definedName name="_SCP">'26 Hummer SUT Ref'!$A$54</definedName>
    <definedName name="_SD1">'26 Hummer SUT Ref'!$A$23</definedName>
    <definedName name="_SD3">#REF!</definedName>
    <definedName name="_SF2">#REF!</definedName>
    <definedName name="_sl7">'26 Hummer SUT Ref'!$A$8</definedName>
    <definedName name="_SL8">#REF!</definedName>
    <definedName name="_SL9">#REF!</definedName>
    <definedName name="_VW1">'Canyon Ref'!$A$26</definedName>
    <definedName name="_WH9">'Sierra EV Ref'!$A$16</definedName>
    <definedName name="AAK" localSheetId="14">'Canyon Ref'!$A$28</definedName>
    <definedName name="AAK" localSheetId="4">'Sierra HD Ref'!$A$21</definedName>
    <definedName name="AAK" localSheetId="2">'Sierra LD Ref'!$A$30</definedName>
    <definedName name="AAK" localSheetId="18">'Yukon Ref'!$A$15</definedName>
    <definedName name="AAK">'Yukon Ref'!$A$18</definedName>
    <definedName name="AAO" localSheetId="4">'Sierra HD Ref'!$A$22</definedName>
    <definedName name="AAO" localSheetId="2">'Sierra LD Ref'!$A$31</definedName>
    <definedName name="BJ" localSheetId="10">'26 Hummer SUT Ref'!$A$35</definedName>
    <definedName name="CAV" localSheetId="16">'Acadia Ref'!$A$15</definedName>
    <definedName name="CAV" localSheetId="12">'Hummer SUV Ref'!$A$20</definedName>
    <definedName name="CAV" localSheetId="18">'Yukon Ref'!$A$22</definedName>
    <definedName name="CAV">'Yukon Ref'!$A$25</definedName>
    <definedName name="EU2_">'Acadia Ref'!$A$20</definedName>
    <definedName name="Labor">Home!$B$10</definedName>
    <definedName name="NAA" localSheetId="2">'Sierra LD Ref'!$A$13</definedName>
    <definedName name="PDV" localSheetId="4">'Sierra HD Ref'!$A$38</definedName>
    <definedName name="PDV" localSheetId="2">'Sierra LD Ref'!$A$52</definedName>
    <definedName name="_xlnm.Print_Area" localSheetId="3">'2026 Sierra HD'!$A$1:$I$37</definedName>
    <definedName name="_xlnm.Print_Area" localSheetId="1">'2026 Sierra LD'!$A$1:$I$49</definedName>
    <definedName name="_xlnm.Print_Area" localSheetId="15">'26 Acadia'!$A$1:$I$32</definedName>
    <definedName name="_xlnm.Print_Area" localSheetId="13">'26 Canyon'!$A$1:$I$45</definedName>
    <definedName name="_xlnm.Print_Area" localSheetId="9">'26 Hummer SUT '!$A$1:$I$35</definedName>
    <definedName name="_xlnm.Print_Area" localSheetId="11">'26 Hummer SUV'!$A$1:$I$21</definedName>
    <definedName name="_xlnm.Print_Area" localSheetId="7">'26 Terrain'!$A$1:$I$20</definedName>
    <definedName name="_xlnm.Print_Area" localSheetId="17">'26 Yukon-XL'!$A$1:$I$36</definedName>
    <definedName name="RDI">'Yukon Ref'!$A$1</definedName>
    <definedName name="RIA" localSheetId="16">'Acadia Ref'!$A$11</definedName>
    <definedName name="RIA" localSheetId="14">'Canyon Ref'!$A$29</definedName>
    <definedName name="RIA" localSheetId="6">'Sierra EV Ref'!$A$12</definedName>
    <definedName name="RIA" localSheetId="4">'Sierra HD Ref'!$A$23</definedName>
    <definedName name="RIA" localSheetId="2">'Sierra LD Ref'!$A$32</definedName>
    <definedName name="RIA" localSheetId="8">'Terrain Ref'!$A$5</definedName>
    <definedName name="RIA" localSheetId="18">'Yukon Ref'!$A$16</definedName>
    <definedName name="RIA">'Yukon Ref'!$A$19</definedName>
    <definedName name="RIB" localSheetId="16">'Acadia Ref'!$A$12</definedName>
    <definedName name="RIB" localSheetId="18">'Yukon Ref'!$A$17</definedName>
    <definedName name="RIB">'Yukon Ref'!$A$20</definedName>
    <definedName name="RIK" localSheetId="10">'26 Hummer SUT Ref'!$A$18</definedName>
    <definedName name="RIK" localSheetId="16">'Acadia Ref'!$A$1</definedName>
    <definedName name="RIK" localSheetId="14">'Canyon Ref'!$A$19</definedName>
    <definedName name="RIK" localSheetId="12">'Hummer SUV Ref'!$A$6</definedName>
    <definedName name="RIK" localSheetId="6">'Sierra EV Ref'!$A$11</definedName>
    <definedName name="RIK" localSheetId="4">'Sierra HD Ref'!$A$7</definedName>
    <definedName name="RIK" localSheetId="2">'Sierra LD Ref'!$A$14</definedName>
    <definedName name="RIK" localSheetId="8">'Terrain Ref'!$A$1</definedName>
    <definedName name="RIK" localSheetId="18">'Yukon Ref'!$A$3</definedName>
    <definedName name="RIK">'Yukon Ref'!$A$6</definedName>
    <definedName name="RIS" localSheetId="8">'Terrain Ref'!$A$6</definedName>
    <definedName name="RSI" localSheetId="6">'Sierra EV Ref'!$A$2</definedName>
    <definedName name="RVP" localSheetId="14">'Canyon Ref'!$A$20</definedName>
    <definedName name="RVP" localSheetId="2">'Sierra LD Ref'!$A$16</definedName>
    <definedName name="RVQ" localSheetId="4">'Sierra HD Ref'!$A$9</definedName>
    <definedName name="RVQ" localSheetId="2">'Sierra LD Ref'!$A$17</definedName>
    <definedName name="RVS" localSheetId="4">'Sierra HD Ref'!$A$10</definedName>
    <definedName name="RVS" localSheetId="2">'Sierra LD Ref'!$A$18</definedName>
    <definedName name="RVS">'Yukon Ref'!$A$7</definedName>
    <definedName name="RVY" localSheetId="14">'Canyon Ref'!$A$4</definedName>
    <definedName name="RVY" localSheetId="6">'Sierra EV Ref'!$A$3</definedName>
    <definedName name="RVY" localSheetId="2">'Sierra LD Ref'!$A$5</definedName>
    <definedName name="RWF" localSheetId="14">'Canyon Ref'!$A$33</definedName>
    <definedName name="RWQ" localSheetId="2">'Sierra LD Ref'!$A$38</definedName>
    <definedName name="RWU" localSheetId="12">'Hummer SUV Ref'!$A$21</definedName>
    <definedName name="RWU" localSheetId="8">'Terrain Ref'!$A$8</definedName>
    <definedName name="RWV" localSheetId="6">'Sierra EV Ref'!$A$14</definedName>
    <definedName name="RXH">'Yukon Ref'!$A$41</definedName>
    <definedName name="RXJ">'Yukon Ref'!$A$42</definedName>
    <definedName name="RYC" localSheetId="10">'26 Hummer SUT Ref'!$A$32</definedName>
    <definedName name="RYC" localSheetId="12">'Hummer SUV Ref'!$A$22</definedName>
    <definedName name="RYC" localSheetId="6">'Sierra EV Ref'!$A$15</definedName>
    <definedName name="RYH" localSheetId="10">'26 Hummer SUT Ref'!$A$43</definedName>
    <definedName name="RYH" localSheetId="12">'Hummer SUV Ref'!$A$36</definedName>
    <definedName name="RYO" localSheetId="6">'Sierra EV Ref'!$A$13</definedName>
    <definedName name="RYU" localSheetId="10">'26 Hummer SUT Ref'!$A$17</definedName>
    <definedName name="RYU" localSheetId="12">'Hummer SUV Ref'!$A$5</definedName>
    <definedName name="RYU" localSheetId="6">'Sierra EV Ref'!$A$10</definedName>
    <definedName name="RZ9_">'Acadia Ref'!$A$2</definedName>
    <definedName name="RZB">'Yukon Ref'!$A$8</definedName>
    <definedName name="RZK" localSheetId="10">'26 Hummer SUT Ref'!$A$41</definedName>
    <definedName name="RZK" localSheetId="12">'Hummer SUV Ref'!$A$32</definedName>
    <definedName name="RZT" localSheetId="10">'26 Hummer SUT Ref'!$A$42</definedName>
    <definedName name="RZT" localSheetId="12">'Hummer SUV Ref'!$A$33</definedName>
    <definedName name="RZU" localSheetId="10">'26 Hummer SUT Ref'!$A$19</definedName>
    <definedName name="RZU" localSheetId="14">'Canyon Ref'!$A$21</definedName>
    <definedName name="RZU" localSheetId="12">'Hummer SUV Ref'!$A$7</definedName>
    <definedName name="S0F" localSheetId="10">'26 Hummer SUT Ref'!$A$37</definedName>
    <definedName name="S0F" localSheetId="12">'Hummer SUV Ref'!$A$27</definedName>
    <definedName name="S0M" localSheetId="16">'Acadia Ref'!$A$13</definedName>
    <definedName name="S0M" localSheetId="4">'Sierra HD Ref'!$A$24</definedName>
    <definedName name="S0M" localSheetId="2">'Sierra LD Ref'!$A$33</definedName>
    <definedName name="S0M" localSheetId="18">'Yukon Ref'!$A$18</definedName>
    <definedName name="S0M">'Yukon Ref'!$A$21</definedName>
    <definedName name="S0P" localSheetId="4">'Sierra HD Ref'!$A$37</definedName>
    <definedName name="S0Y" localSheetId="14">'Canyon Ref'!$A$6</definedName>
    <definedName name="S1H" localSheetId="10">'26 Hummer SUT Ref'!$A$36</definedName>
    <definedName name="S1H" localSheetId="14">'Canyon Ref'!$A$34</definedName>
    <definedName name="S1H" localSheetId="6">'Sierra EV Ref'!$A$17</definedName>
    <definedName name="S1H" localSheetId="2">'Sierra LD Ref'!$A$39</definedName>
    <definedName name="S1O" localSheetId="10">'26 Hummer SUT Ref'!$A$33</definedName>
    <definedName name="S1O" localSheetId="12">'Hummer SUV Ref'!$A$23</definedName>
    <definedName name="S1O" localSheetId="4">'Sierra HD Ref'!$A$26</definedName>
    <definedName name="S1O" localSheetId="2">'Sierra LD Ref'!$A$35</definedName>
    <definedName name="S1O" localSheetId="18">'Yukon Ref'!$A$23</definedName>
    <definedName name="S1O">'Yukon Ref'!$A$26</definedName>
    <definedName name="S3I" localSheetId="16">'Acadia Ref'!$A$3</definedName>
    <definedName name="S3I" localSheetId="4">'Sierra HD Ref'!$A$11</definedName>
    <definedName name="S3I" localSheetId="2">'Sierra LD Ref'!$A$19</definedName>
    <definedName name="S3I" localSheetId="18">'Yukon Ref'!$A$6</definedName>
    <definedName name="S3I">'Yukon Ref'!$A$9</definedName>
    <definedName name="S3O" localSheetId="10">'26 Hummer SUT Ref'!$A$20</definedName>
    <definedName name="S3O" localSheetId="12">'Hummer SUV Ref'!$A$8</definedName>
    <definedName name="S3X" localSheetId="14">'Canyon Ref'!$A$22</definedName>
    <definedName name="S4K" localSheetId="14">'Canyon Ref'!$A$7</definedName>
    <definedName name="S4K" localSheetId="6">'Sierra EV Ref'!$A$4</definedName>
    <definedName name="S4W">'Yukon Ref'!$A$43</definedName>
    <definedName name="S4X" localSheetId="18">'Yukon Ref'!$A$7</definedName>
    <definedName name="S4X">'Yukon Ref'!$A$10</definedName>
    <definedName name="S6L" localSheetId="10">'26 Hummer SUT Ref'!$A$21</definedName>
    <definedName name="S6L" localSheetId="14">'Canyon Ref'!$A$23</definedName>
    <definedName name="S6L" localSheetId="12">'Hummer SUV Ref'!$A$9</definedName>
    <definedName name="S6L" localSheetId="4">'Sierra HD Ref'!$A$13</definedName>
    <definedName name="S6L" localSheetId="2">'Sierra LD Ref'!$A$20</definedName>
    <definedName name="S6P" localSheetId="14">'Canyon Ref'!$A$15</definedName>
    <definedName name="SAK" localSheetId="16">'Acadia Ref'!$A$21</definedName>
    <definedName name="SAK" localSheetId="4">'Sierra HD Ref'!$A$30</definedName>
    <definedName name="SAK">'Acadia Ref'!$A$21</definedName>
    <definedName name="SAM" localSheetId="14">'Canyon Ref'!$A$36</definedName>
    <definedName name="SAS" localSheetId="10">'26 Hummer SUT Ref'!$A$5</definedName>
    <definedName name="SAS" localSheetId="14">'Canyon Ref'!$A$35</definedName>
    <definedName name="SAU" localSheetId="12">'Hummer SUV Ref'!$A$10</definedName>
    <definedName name="SAX" localSheetId="10">'26 Hummer SUT Ref'!$A$12</definedName>
    <definedName name="SAX" localSheetId="14">'Canyon Ref'!$A$16</definedName>
    <definedName name="SAX" localSheetId="4">'Sierra HD Ref'!$A$5</definedName>
    <definedName name="SAX" localSheetId="2">'Sierra LD Ref'!$A$11</definedName>
    <definedName name="SAY" localSheetId="16">'Acadia Ref'!$A$22</definedName>
    <definedName name="SAY" localSheetId="4">'Sierra HD Ref'!$A$31</definedName>
    <definedName name="SAY">'Acadia Ref'!$A$22</definedName>
    <definedName name="SB1_">'Acadia Ref'!$A$4</definedName>
    <definedName name="SB9_">#REF!</definedName>
    <definedName name="SBD" localSheetId="10">'26 Hummer SUT Ref'!$A$22</definedName>
    <definedName name="SBD" localSheetId="12">'Hummer SUV Ref'!$A$11</definedName>
    <definedName name="SBL" localSheetId="4">'Sierra HD Ref'!$A$32</definedName>
    <definedName name="SBY" localSheetId="14">'Canyon Ref'!$A$8</definedName>
    <definedName name="SBY" localSheetId="2">'Sierra LD Ref'!$A$6</definedName>
    <definedName name="SBZ" localSheetId="10">'26 Hummer SUT Ref'!$A$29</definedName>
    <definedName name="SBZ" localSheetId="12">'Hummer SUV Ref'!$A$17</definedName>
    <definedName name="SBZ" localSheetId="4">'Sierra HD Ref'!$A$25</definedName>
    <definedName name="SBZ" localSheetId="2">'Sierra LD Ref'!$A$34</definedName>
    <definedName name="SBZ" localSheetId="18">'Yukon Ref'!$A$19</definedName>
    <definedName name="SBZ">'Yukon Ref'!$A$22</definedName>
    <definedName name="SDA" localSheetId="10">'26 Hummer SUT Ref'!$A$24</definedName>
    <definedName name="SDA" localSheetId="12">'Hummer SUV Ref'!$A$12</definedName>
    <definedName name="SDT" localSheetId="14">'Canyon Ref'!$A$9</definedName>
    <definedName name="SEL" localSheetId="10">'26 Hummer SUT Ref'!$A$7</definedName>
    <definedName name="sep">'26 Hummer SUT Ref'!$A$55</definedName>
    <definedName name="SES" localSheetId="6">'Sierra EV Ref'!$A$18</definedName>
    <definedName name="SEU" localSheetId="6">'Sierra EV Ref'!$A$19</definedName>
    <definedName name="SEU" localSheetId="2">'Sierra LD Ref'!$A$42</definedName>
    <definedName name="SEV" localSheetId="2">'Sierra LD Ref'!$A$43</definedName>
    <definedName name="SEV" localSheetId="18">'Yukon Ref'!$A$32</definedName>
    <definedName name="SEV">'Yukon Ref'!$A$35</definedName>
    <definedName name="SEZ" localSheetId="2">'Sierra LD Ref'!$A$44</definedName>
    <definedName name="SFE" localSheetId="10">'26 Hummer SUT Ref'!$A$47</definedName>
    <definedName name="SFE" localSheetId="16">'Acadia Ref'!$A$23</definedName>
    <definedName name="SFE" localSheetId="14">'Canyon Ref'!$A$47</definedName>
    <definedName name="SFE" localSheetId="12">'Hummer SUV Ref'!$A$31</definedName>
    <definedName name="SFE" localSheetId="4">'Sierra HD Ref'!$A$36</definedName>
    <definedName name="SFE" localSheetId="2">'Sierra LD Ref'!$A$51</definedName>
    <definedName name="SFE" localSheetId="8">'Terrain Ref'!$A$13</definedName>
    <definedName name="SFE" localSheetId="18">'Yukon Ref'!$A$38</definedName>
    <definedName name="SFE">'Yukon Ref'!$A$2</definedName>
    <definedName name="SFJ" localSheetId="18">'Yukon Ref'!$A$20</definedName>
    <definedName name="SFJ">'Yukon Ref'!$A$23</definedName>
    <definedName name="SFU" localSheetId="2">'Sierra LD Ref'!$A$45</definedName>
    <definedName name="SFU" localSheetId="18">'Yukon Ref'!$A$33</definedName>
    <definedName name="SFU">'Yukon Ref'!$A$36</definedName>
    <definedName name="SFZ" localSheetId="16">'Acadia Ref'!$A$5</definedName>
    <definedName name="SFZ" localSheetId="14">'Canyon Ref'!$A$24</definedName>
    <definedName name="SFZ" localSheetId="4">'Sierra HD Ref'!$A$15</definedName>
    <definedName name="SFZ" localSheetId="2">'Sierra LD Ref'!$A$22</definedName>
    <definedName name="SFZ" localSheetId="8">'Terrain Ref'!$A$2</definedName>
    <definedName name="SFZ" localSheetId="18">'Yukon Ref'!$A$8</definedName>
    <definedName name="SFZ">'Yukon Ref'!$A$11</definedName>
    <definedName name="SGM" localSheetId="2">'Sierra LD Ref'!$A$46</definedName>
    <definedName name="SGM" localSheetId="18">'Yukon Ref'!$A$34</definedName>
    <definedName name="SGM">'Yukon Ref'!$A$37</definedName>
    <definedName name="SGX" localSheetId="10">'26 Hummer SUT Ref'!$A$38</definedName>
    <definedName name="SGY" localSheetId="12">'Hummer SUV Ref'!$A$28</definedName>
    <definedName name="SHH" localSheetId="4">'Sierra HD Ref'!$A$33</definedName>
    <definedName name="SHX" localSheetId="16">'Acadia Ref'!$A$16</definedName>
    <definedName name="SHX">'Acadia Ref'!$A$16</definedName>
    <definedName name="SIM" localSheetId="10">'26 Hummer SUT Ref'!$A$30</definedName>
    <definedName name="SIM" localSheetId="12">'Hummer SUV Ref'!$A$18</definedName>
    <definedName name="SIQ" localSheetId="14">'Canyon Ref'!$A$37</definedName>
    <definedName name="SIR" localSheetId="14">'Canyon Ref'!$A$38</definedName>
    <definedName name="SJ9_">#REF!</definedName>
    <definedName name="SJB" localSheetId="18">'Yukon Ref'!$A$9</definedName>
    <definedName name="SJS" localSheetId="14">'Canyon Ref'!$A$10</definedName>
    <definedName name="SJS" localSheetId="2">'Sierra LD Ref'!$A$7</definedName>
    <definedName name="SKX" localSheetId="4">'Sierra HD Ref'!$A$34</definedName>
    <definedName name="SMA" localSheetId="10">'26 Hummer SUT Ref'!$A$39</definedName>
    <definedName name="SMA" localSheetId="12">'Hummer SUV Ref'!$A$29</definedName>
    <definedName name="SMB" localSheetId="10">'26 Hummer SUT Ref'!$A$46</definedName>
    <definedName name="SMB" localSheetId="12">'Hummer SUV Ref'!$A$34</definedName>
    <definedName name="SMU" localSheetId="14">'Canyon Ref'!$A$43</definedName>
    <definedName name="SNO" localSheetId="4">'Sierra HD Ref'!$A$29</definedName>
    <definedName name="SNX" localSheetId="14">'Canyon Ref'!$A$44</definedName>
    <definedName name="SOM">'Acadia Ref'!$A$13</definedName>
    <definedName name="SPY" localSheetId="10">'26 Hummer SUT Ref'!$A$45</definedName>
    <definedName name="SPY" localSheetId="12">'Hummer SUV Ref'!$A$35</definedName>
    <definedName name="SPY" localSheetId="18">'Yukon Ref'!$A$39</definedName>
    <definedName name="SPY">'Acadia Ref'!$A$25</definedName>
    <definedName name="SPZ" localSheetId="10">'26 Hummer SUT Ref'!$A$40</definedName>
    <definedName name="SPZ" localSheetId="14">'Canyon Ref'!$A$48</definedName>
    <definedName name="SPZ" localSheetId="12">'Hummer SUV Ref'!$A$30</definedName>
    <definedName name="SPZ">'Yukon Ref'!$A$3</definedName>
    <definedName name="SQI" localSheetId="14">'Canyon Ref'!$A$39</definedName>
    <definedName name="SQJ" localSheetId="14">'Canyon Ref'!$A$42</definedName>
    <definedName name="SRL" localSheetId="14">'Canyon Ref'!$A$45</definedName>
    <definedName name="SRL" localSheetId="2">'Sierra LD Ref'!$A$47</definedName>
    <definedName name="SRL" localSheetId="18">'Yukon Ref'!$A$35</definedName>
    <definedName name="SRL">'Yukon Ref'!$A$38</definedName>
    <definedName name="SRV" localSheetId="2">'Sierra LD Ref'!$A$48</definedName>
    <definedName name="SRV" localSheetId="18">'Yukon Ref'!$A$36</definedName>
    <definedName name="SRV">'Yukon Ref'!$A$39</definedName>
    <definedName name="SSI" localSheetId="2">'Sierra LD Ref'!$A$50</definedName>
    <definedName name="SSW" localSheetId="2">'Sierra LD Ref'!$A$49</definedName>
    <definedName name="SSW" localSheetId="18">'Yukon Ref'!$A$37</definedName>
    <definedName name="SSW">'Yukon Ref'!$A$40</definedName>
    <definedName name="SvcGross">Home!$I$10</definedName>
    <definedName name="TRO" localSheetId="10">'26 Hummer SUT Ref'!$A$13</definedName>
    <definedName name="TRO" localSheetId="12">'Hummer SUV Ref'!$A$1</definedName>
    <definedName name="TRO" localSheetId="4">'Sierra HD Ref'!$A$6</definedName>
    <definedName name="TRO" localSheetId="2">'Sierra LD Ref'!$A$12</definedName>
    <definedName name="TRO" localSheetId="18">'Yukon Ref'!$A$1</definedName>
    <definedName name="TRO">'Yukon Ref'!$A$4</definedName>
    <definedName name="ULK" localSheetId="10">'26 Hummer SUT Ref'!$A$25</definedName>
    <definedName name="ULK" localSheetId="12">'Hummer SUV Ref'!$A$13</definedName>
    <definedName name="UNW" localSheetId="14">'Canyon Ref'!$A$11</definedName>
    <definedName name="VAV" localSheetId="16">'Acadia Ref'!$A$14</definedName>
    <definedName name="VAV" localSheetId="14">'Canyon Ref'!$A$30</definedName>
    <definedName name="VAV" localSheetId="8">'Terrain Ref'!$A$7</definedName>
    <definedName name="VAV" localSheetId="18">'Yukon Ref'!$A$21</definedName>
    <definedName name="VAV">'Yukon Ref'!$A$24</definedName>
    <definedName name="VBJ" localSheetId="10">'26 Hummer SUT Ref'!$A$44</definedName>
    <definedName name="VBJ" localSheetId="4">'Sierra HD Ref'!$A$27</definedName>
    <definedName name="VBJ" localSheetId="2">'Sierra LD Ref'!$A$36</definedName>
    <definedName name="VBP" localSheetId="10">'26 Hummer SUT Ref'!$A$14</definedName>
    <definedName name="VBP" localSheetId="14">'Canyon Ref'!$A$49</definedName>
    <definedName name="VBP" localSheetId="12">'Hummer SUV Ref'!$A$2</definedName>
    <definedName name="VBR" localSheetId="14">'Canyon Ref'!$A$12</definedName>
    <definedName name="VKU" localSheetId="18">'Yukon Ref'!$A$10</definedName>
    <definedName name="VKU">'Yukon Ref'!$A$12</definedName>
    <definedName name="VLI" localSheetId="16">'Acadia Ref'!$A$17</definedName>
    <definedName name="VLI" localSheetId="8">'Terrain Ref'!$A$9</definedName>
    <definedName name="VLI">'Acadia Ref'!$A$17</definedName>
    <definedName name="VLL" localSheetId="16">'Acadia Ref'!$A$10</definedName>
    <definedName name="VLL" localSheetId="8">'Terrain Ref'!$A$4</definedName>
    <definedName name="VLL">'Acadia Ref'!$A$10</definedName>
    <definedName name="VMK" localSheetId="10">'26 Hummer SUT Ref'!$A$9</definedName>
    <definedName name="VMK" localSheetId="6">'Sierra EV Ref'!$A$5</definedName>
    <definedName name="VOZ" localSheetId="10">'26 Hummer SUT Ref'!$A$10</definedName>
    <definedName name="VOZ" localSheetId="14">'Canyon Ref'!$A$13</definedName>
    <definedName name="VOZ" localSheetId="6">'Sierra EV Ref'!$A$6</definedName>
    <definedName name="VOZ" localSheetId="4">'Sierra HD Ref'!$A$4</definedName>
    <definedName name="VOZ" localSheetId="2">'Sierra LD Ref'!$A$8</definedName>
    <definedName name="VPB" localSheetId="10">'26 Hummer SUT Ref'!$A$11</definedName>
    <definedName name="VPB" localSheetId="14">'Canyon Ref'!$A$17</definedName>
    <definedName name="VPB" localSheetId="6">'Sierra EV Ref'!$A$7</definedName>
    <definedName name="VPB" localSheetId="2">'Sierra LD Ref'!$A$9</definedName>
    <definedName name="VQK" localSheetId="10">'26 Hummer SUT Ref'!$A$26</definedName>
    <definedName name="VQK" localSheetId="16">'Acadia Ref'!$A$6</definedName>
    <definedName name="VQK" localSheetId="12">'Hummer SUV Ref'!$A$14</definedName>
    <definedName name="VQK" localSheetId="4">'Sierra HD Ref'!$A$16</definedName>
    <definedName name="VQK" localSheetId="2">'Sierra LD Ref'!$A$23</definedName>
    <definedName name="VQK" localSheetId="8">'Terrain Ref'!$A$3</definedName>
    <definedName name="VQK" localSheetId="18">'Yukon Ref'!$A$11</definedName>
    <definedName name="VQK">'Yukon Ref'!$A$13</definedName>
    <definedName name="VQM" localSheetId="2">'Sierra LD Ref'!$A$24</definedName>
    <definedName name="VQO" localSheetId="16">'Acadia Ref'!$A$7</definedName>
    <definedName name="VQO" localSheetId="14">'Canyon Ref'!$A$25</definedName>
    <definedName name="VQO" localSheetId="4">'Sierra HD Ref'!$A$17</definedName>
    <definedName name="VQO" localSheetId="2">'Sierra LD Ref'!$A$25</definedName>
    <definedName name="VQO">'Acadia Ref'!$A$7</definedName>
    <definedName name="VQQ" localSheetId="10">'26 Hummer SUT Ref'!$A$28</definedName>
    <definedName name="VQQ" localSheetId="12">'Hummer SUV Ref'!$A$16</definedName>
    <definedName name="VQQ" localSheetId="18">'Yukon Ref'!$A$13</definedName>
    <definedName name="VQQ">'Yukon Ref'!$A$16</definedName>
    <definedName name="VQZ" localSheetId="14">'Canyon Ref'!$A$40</definedName>
    <definedName name="VQZ" localSheetId="4">'Sierra HD Ref'!$A$28</definedName>
    <definedName name="VQZ" localSheetId="18">'Yukon Ref'!$A$27</definedName>
    <definedName name="VQZ">'Yukon Ref'!$A$30</definedName>
    <definedName name="VRS" localSheetId="16">'Acadia Ref'!$A$18</definedName>
    <definedName name="VRS" localSheetId="12">'Hummer SUV Ref'!$A$25</definedName>
    <definedName name="VRS" localSheetId="8">'Terrain Ref'!$A$10</definedName>
    <definedName name="VRS" localSheetId="18">'Yukon Ref'!$A$24</definedName>
    <definedName name="VRS">'Yukon Ref'!$A$27</definedName>
    <definedName name="VRV" localSheetId="16">'Acadia Ref'!$A$8</definedName>
    <definedName name="VRV">'Acadia Ref'!$A$8</definedName>
    <definedName name="VST" localSheetId="14">'Canyon Ref'!$A$31</definedName>
    <definedName name="VTA" localSheetId="14">'Canyon Ref'!$A$41</definedName>
    <definedName name="VTA" localSheetId="18">'Yukon Ref'!$A$28</definedName>
    <definedName name="VTA">'Yukon Ref'!$A$31</definedName>
    <definedName name="VTB" localSheetId="18">'Yukon Ref'!$A$12</definedName>
    <definedName name="VTB">'Yukon Ref'!$A$14</definedName>
    <definedName name="VXH" localSheetId="4">'Sierra HD Ref'!$A$18</definedName>
    <definedName name="VXH" localSheetId="2">'Sierra LD Ref'!$A$27</definedName>
    <definedName name="VXH">'Yukon Ref'!$A$15</definedName>
    <definedName name="VXJ" localSheetId="4">'Sierra HD Ref'!$A$19</definedName>
    <definedName name="VXJ" localSheetId="2">'Sierra LD Ref'!$A$28</definedName>
    <definedName name="VXW" localSheetId="16">'Acadia Ref'!$A$9</definedName>
    <definedName name="VXW" localSheetId="4">'Sierra HD Ref'!$A$20</definedName>
    <definedName name="VXW" localSheetId="2">'Sierra LD Ref'!$A$29</definedName>
    <definedName name="VXW">'Acadia Ref'!$A$9</definedName>
    <definedName name="VYW" localSheetId="10">'26 Hummer SUT Ref'!$A$31</definedName>
    <definedName name="VYW" localSheetId="12">'Hummer SUV Ref'!$A$19</definedName>
    <definedName name="VZJ" localSheetId="14">'Canyon Ref'!$A$18</definedName>
    <definedName name="VZT" localSheetId="14">'Canyon Ref'!$A$27</definedName>
    <definedName name="VZX" localSheetId="2">'Sierra LD Ref'!$A$10</definedName>
    <definedName name="W0H" localSheetId="10">'26 Hummer SUT Ref'!$A$27</definedName>
    <definedName name="W0H" localSheetId="12">'Hummer SUV Ref'!$A$15</definedName>
    <definedName name="W2D" localSheetId="16">'Acadia Ref'!$A$19</definedName>
    <definedName name="W2D" localSheetId="12">'Hummer SUV Ref'!$A$26</definedName>
    <definedName name="W2D" localSheetId="8">'Terrain Ref'!$A$11</definedName>
    <definedName name="W2D" localSheetId="18">'Yukon Ref'!$A$25</definedName>
    <definedName name="W2D">'Yukon Ref'!$A$28</definedName>
    <definedName name="WBC" localSheetId="2">'Sierra LD Ref'!$A$40</definedName>
    <definedName name="WBC" localSheetId="18">'Yukon Ref'!$A$29</definedName>
    <definedName name="WBC">'Yukon Ref'!$A$32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50" l="1"/>
  <c r="B49" i="50"/>
  <c r="B48" i="50"/>
  <c r="B47" i="50"/>
  <c r="B46" i="50"/>
  <c r="B45" i="50"/>
  <c r="B44" i="50"/>
  <c r="B43" i="50"/>
  <c r="B42" i="50"/>
  <c r="B41" i="50"/>
  <c r="B40" i="50"/>
  <c r="B29" i="49"/>
  <c r="B28" i="49"/>
  <c r="B27" i="49"/>
  <c r="B26" i="49"/>
  <c r="B25" i="49"/>
  <c r="B24" i="49" a="1"/>
  <c r="B24" i="49" s="1"/>
  <c r="B57" i="48"/>
  <c r="B56" i="48"/>
  <c r="B55" i="48"/>
  <c r="B54" i="48"/>
  <c r="B53" i="48"/>
  <c r="B52" i="48" a="1"/>
  <c r="B52" i="48" s="1"/>
  <c r="B51" i="48"/>
  <c r="B50" i="48"/>
  <c r="B42" i="46"/>
  <c r="F10" i="8" s="1"/>
  <c r="B41" i="46"/>
  <c r="F9" i="8" s="1"/>
  <c r="B40" i="46"/>
  <c r="F8" i="8" s="1"/>
  <c r="B39" i="46"/>
  <c r="F7" i="8" s="1"/>
  <c r="G7" i="8" s="1"/>
  <c r="B38" i="46"/>
  <c r="F6" i="8" s="1"/>
  <c r="G6" i="8" s="1"/>
  <c r="B37" i="46"/>
  <c r="F5" i="8" s="1"/>
  <c r="E6" i="8"/>
  <c r="E7" i="8"/>
  <c r="H6" i="8" l="1"/>
  <c r="I6" i="8" s="1"/>
  <c r="H7" i="8"/>
  <c r="I7" i="8" s="1"/>
  <c r="E22" i="8" l="1"/>
  <c r="F22" i="8"/>
  <c r="G22" i="8" s="1"/>
  <c r="H22" i="8" s="1"/>
  <c r="I22" i="8" s="1"/>
  <c r="E23" i="8"/>
  <c r="F23" i="8"/>
  <c r="G23" i="8" s="1"/>
  <c r="H23" i="8" s="1"/>
  <c r="I23" i="8" s="1"/>
  <c r="E24" i="8"/>
  <c r="F24" i="8"/>
  <c r="G24" i="8" s="1"/>
  <c r="H24" i="8" s="1"/>
  <c r="I24" i="8" s="1"/>
  <c r="E25" i="8"/>
  <c r="F25" i="8"/>
  <c r="G25" i="8" s="1"/>
  <c r="H25" i="8" s="1"/>
  <c r="I25" i="8" s="1"/>
  <c r="E26" i="8"/>
  <c r="F26" i="8"/>
  <c r="G26" i="8" s="1"/>
  <c r="E27" i="8"/>
  <c r="F27" i="8"/>
  <c r="G27" i="8" s="1"/>
  <c r="E28" i="8"/>
  <c r="F28" i="8"/>
  <c r="G28" i="8" s="1"/>
  <c r="H28" i="8" s="1"/>
  <c r="I28" i="8" s="1"/>
  <c r="E29" i="8"/>
  <c r="F29" i="8"/>
  <c r="G29" i="8" s="1"/>
  <c r="H29" i="8" s="1"/>
  <c r="I29" i="8" s="1"/>
  <c r="E30" i="8"/>
  <c r="F30" i="8"/>
  <c r="G30" i="8" s="1"/>
  <c r="H30" i="8" s="1"/>
  <c r="I30" i="8" s="1"/>
  <c r="E31" i="8"/>
  <c r="F31" i="8"/>
  <c r="G31" i="8" s="1"/>
  <c r="H31" i="8" s="1"/>
  <c r="I31" i="8" s="1"/>
  <c r="E32" i="8"/>
  <c r="F32" i="8"/>
  <c r="G32" i="8" s="1"/>
  <c r="H32" i="8" s="1"/>
  <c r="I32" i="8" s="1"/>
  <c r="B60" i="45" a="1"/>
  <c r="B60" i="45" s="1"/>
  <c r="B59" i="45"/>
  <c r="B58" i="45" a="1"/>
  <c r="B58" i="45" s="1"/>
  <c r="B57" i="45" a="1"/>
  <c r="B57" i="45" s="1"/>
  <c r="B56" i="45"/>
  <c r="B52" i="45" a="1"/>
  <c r="B52" i="45" s="1"/>
  <c r="B51" i="45"/>
  <c r="B50" i="45"/>
  <c r="B49" i="45" a="1"/>
  <c r="B49" i="45" s="1"/>
  <c r="B18" i="44"/>
  <c r="B17" i="44"/>
  <c r="B16" i="44"/>
  <c r="B15" i="44"/>
  <c r="E18" i="2"/>
  <c r="F18" i="2"/>
  <c r="G18" i="2" s="1"/>
  <c r="E19" i="2"/>
  <c r="F19" i="2"/>
  <c r="G19" i="2" s="1"/>
  <c r="E20" i="2"/>
  <c r="F20" i="2"/>
  <c r="G20" i="2" s="1"/>
  <c r="E21" i="2"/>
  <c r="F21" i="2"/>
  <c r="G21" i="2" s="1"/>
  <c r="H21" i="2" s="1"/>
  <c r="I21" i="2" s="1"/>
  <c r="E22" i="2"/>
  <c r="F22" i="2"/>
  <c r="G22" i="2" s="1"/>
  <c r="B24" i="43"/>
  <c r="B23" i="43"/>
  <c r="B22" i="43"/>
  <c r="B21" i="43" a="1"/>
  <c r="B21" i="43" s="1"/>
  <c r="B20" i="43"/>
  <c r="E38" i="5"/>
  <c r="F38" i="5"/>
  <c r="G38" i="5" s="1"/>
  <c r="H38" i="5" s="1"/>
  <c r="I38" i="5" s="1"/>
  <c r="B41" i="42"/>
  <c r="F5" i="5" s="1"/>
  <c r="G5" i="5" s="1"/>
  <c r="B40" i="42"/>
  <c r="F7" i="5" s="1"/>
  <c r="G7" i="5" s="1"/>
  <c r="B39" i="42"/>
  <c r="F6" i="5" s="1"/>
  <c r="G6" i="5" s="1"/>
  <c r="E5" i="5"/>
  <c r="E6" i="5"/>
  <c r="E7" i="5"/>
  <c r="B55" i="41"/>
  <c r="F7" i="1" s="1"/>
  <c r="B54" i="41"/>
  <c r="F6" i="1" s="1"/>
  <c r="B53" i="41" a="1"/>
  <c r="B53" i="41" s="1"/>
  <c r="F5" i="1" s="1"/>
  <c r="E9" i="1"/>
  <c r="E10" i="1"/>
  <c r="E11" i="1"/>
  <c r="E12" i="1"/>
  <c r="E13" i="1"/>
  <c r="E14" i="1"/>
  <c r="E5" i="1"/>
  <c r="E6" i="1"/>
  <c r="E7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8" i="1"/>
  <c r="H20" i="2" l="1"/>
  <c r="I20" i="2" s="1"/>
  <c r="H5" i="5"/>
  <c r="I5" i="5" s="1"/>
  <c r="H6" i="5"/>
  <c r="I6" i="5" s="1"/>
  <c r="H7" i="5"/>
  <c r="I7" i="5" s="1"/>
  <c r="H19" i="2"/>
  <c r="I19" i="2" s="1"/>
  <c r="H18" i="2"/>
  <c r="I18" i="2" s="1"/>
  <c r="H22" i="2"/>
  <c r="I22" i="2" s="1"/>
  <c r="H26" i="8"/>
  <c r="I26" i="8" s="1"/>
  <c r="H27" i="8"/>
  <c r="I27" i="8" s="1"/>
  <c r="E13" i="5" l="1"/>
  <c r="F30" i="10"/>
  <c r="F5" i="10"/>
  <c r="G5" i="10" s="1"/>
  <c r="H5" i="10" s="1"/>
  <c r="I5" i="10" s="1"/>
  <c r="E5" i="10"/>
  <c r="E16" i="10" l="1"/>
  <c r="E7" i="10"/>
  <c r="E8" i="10"/>
  <c r="E9" i="10"/>
  <c r="E10" i="10"/>
  <c r="E11" i="10"/>
  <c r="E12" i="10"/>
  <c r="E13" i="10"/>
  <c r="E14" i="10"/>
  <c r="E15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F13" i="10"/>
  <c r="G13" i="10" s="1"/>
  <c r="F17" i="10"/>
  <c r="G17" i="10" s="1"/>
  <c r="F18" i="10"/>
  <c r="G18" i="10" s="1"/>
  <c r="F19" i="10"/>
  <c r="G19" i="10" s="1"/>
  <c r="F6" i="10"/>
  <c r="G6" i="10" s="1"/>
  <c r="F14" i="10"/>
  <c r="G14" i="10" s="1"/>
  <c r="F15" i="10"/>
  <c r="G15" i="10" s="1"/>
  <c r="F16" i="10"/>
  <c r="G16" i="10" s="1"/>
  <c r="H16" i="10" s="1"/>
  <c r="I16" i="10" s="1"/>
  <c r="F7" i="10"/>
  <c r="G7" i="10" s="1"/>
  <c r="H7" i="10" s="1"/>
  <c r="I7" i="10" s="1"/>
  <c r="F8" i="10"/>
  <c r="G8" i="10" s="1"/>
  <c r="H8" i="10" s="1"/>
  <c r="I8" i="10" s="1"/>
  <c r="F9" i="10"/>
  <c r="G9" i="10" s="1"/>
  <c r="H9" i="10" s="1"/>
  <c r="I9" i="10" s="1"/>
  <c r="F10" i="10"/>
  <c r="G10" i="10" s="1"/>
  <c r="H10" i="10" s="1"/>
  <c r="I10" i="10" s="1"/>
  <c r="F20" i="10"/>
  <c r="G20" i="10" s="1"/>
  <c r="H20" i="10" s="1"/>
  <c r="I20" i="10" s="1"/>
  <c r="F21" i="10"/>
  <c r="G21" i="10" s="1"/>
  <c r="F22" i="10"/>
  <c r="G22" i="10" s="1"/>
  <c r="F23" i="10"/>
  <c r="G23" i="10" s="1"/>
  <c r="F24" i="10"/>
  <c r="G24" i="10" s="1"/>
  <c r="H24" i="10" s="1"/>
  <c r="I24" i="10" s="1"/>
  <c r="F25" i="10"/>
  <c r="G25" i="10" s="1"/>
  <c r="F11" i="10"/>
  <c r="G11" i="10" s="1"/>
  <c r="F26" i="10"/>
  <c r="G26" i="10" s="1"/>
  <c r="F27" i="10"/>
  <c r="G27" i="10" s="1"/>
  <c r="F28" i="10"/>
  <c r="G28" i="10" s="1"/>
  <c r="F29" i="10"/>
  <c r="G29" i="10" s="1"/>
  <c r="G30" i="10"/>
  <c r="F31" i="10"/>
  <c r="G31" i="10" s="1"/>
  <c r="F32" i="10"/>
  <c r="G32" i="10" s="1"/>
  <c r="F33" i="10"/>
  <c r="G33" i="10" s="1"/>
  <c r="F34" i="10"/>
  <c r="G34" i="10" s="1"/>
  <c r="F35" i="10"/>
  <c r="G35" i="10" s="1"/>
  <c r="F36" i="10"/>
  <c r="G36" i="10" s="1"/>
  <c r="F12" i="10"/>
  <c r="G12" i="10" s="1"/>
  <c r="F9" i="6"/>
  <c r="G9" i="6" s="1"/>
  <c r="F11" i="6"/>
  <c r="G11" i="6" s="1"/>
  <c r="F12" i="6"/>
  <c r="G12" i="6" s="1"/>
  <c r="F5" i="6"/>
  <c r="G5" i="6" s="1"/>
  <c r="F6" i="6"/>
  <c r="G6" i="6" s="1"/>
  <c r="F7" i="6"/>
  <c r="G7" i="6" s="1"/>
  <c r="F10" i="6"/>
  <c r="G10" i="6" s="1"/>
  <c r="F13" i="6"/>
  <c r="G13" i="6" s="1"/>
  <c r="F14" i="6"/>
  <c r="G14" i="6" s="1"/>
  <c r="F15" i="6"/>
  <c r="G15" i="6" s="1"/>
  <c r="F16" i="6"/>
  <c r="G16" i="6" s="1"/>
  <c r="F17" i="6"/>
  <c r="G17" i="6" s="1"/>
  <c r="F18" i="6"/>
  <c r="G18" i="6" s="1"/>
  <c r="F19" i="6"/>
  <c r="G19" i="6" s="1"/>
  <c r="F20" i="6"/>
  <c r="G20" i="6" s="1"/>
  <c r="F21" i="6"/>
  <c r="G21" i="6" s="1"/>
  <c r="F22" i="6"/>
  <c r="G22" i="6" s="1"/>
  <c r="F23" i="6"/>
  <c r="G23" i="6" s="1"/>
  <c r="F24" i="6"/>
  <c r="G24" i="6" s="1"/>
  <c r="F25" i="6"/>
  <c r="G25" i="6" s="1"/>
  <c r="F26" i="6"/>
  <c r="G26" i="6" s="1"/>
  <c r="F27" i="6"/>
  <c r="G27" i="6" s="1"/>
  <c r="F28" i="6"/>
  <c r="G28" i="6" s="1"/>
  <c r="F29" i="6"/>
  <c r="G29" i="6" s="1"/>
  <c r="F30" i="6"/>
  <c r="G30" i="6" s="1"/>
  <c r="F31" i="6"/>
  <c r="G31" i="6" s="1"/>
  <c r="F32" i="6"/>
  <c r="G32" i="6" s="1"/>
  <c r="F8" i="6"/>
  <c r="G8" i="6" s="1"/>
  <c r="E9" i="6"/>
  <c r="E11" i="6"/>
  <c r="E12" i="6"/>
  <c r="E5" i="6"/>
  <c r="E6" i="6"/>
  <c r="E7" i="6"/>
  <c r="E10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8" i="6"/>
  <c r="F11" i="4"/>
  <c r="G11" i="4" s="1"/>
  <c r="F12" i="4"/>
  <c r="G12" i="4" s="1"/>
  <c r="F16" i="4"/>
  <c r="G16" i="4" s="1"/>
  <c r="F13" i="4"/>
  <c r="G13" i="4" s="1"/>
  <c r="F14" i="4"/>
  <c r="G14" i="4" s="1"/>
  <c r="F15" i="4"/>
  <c r="G15" i="4" s="1"/>
  <c r="F5" i="4"/>
  <c r="G5" i="4" s="1"/>
  <c r="F6" i="4"/>
  <c r="G6" i="4" s="1"/>
  <c r="F7" i="4"/>
  <c r="G7" i="4" s="1"/>
  <c r="F8" i="4"/>
  <c r="G8" i="4" s="1"/>
  <c r="F9" i="4"/>
  <c r="G9" i="4" s="1"/>
  <c r="F17" i="4"/>
  <c r="G17" i="4" s="1"/>
  <c r="F18" i="4"/>
  <c r="G18" i="4" s="1"/>
  <c r="F19" i="4"/>
  <c r="G19" i="4" s="1"/>
  <c r="F20" i="4"/>
  <c r="G20" i="4" s="1"/>
  <c r="F21" i="4"/>
  <c r="G21" i="4" s="1"/>
  <c r="F22" i="4"/>
  <c r="G22" i="4" s="1"/>
  <c r="F23" i="4"/>
  <c r="G23" i="4" s="1"/>
  <c r="F24" i="4"/>
  <c r="G24" i="4" s="1"/>
  <c r="F25" i="4"/>
  <c r="G25" i="4" s="1"/>
  <c r="F26" i="4"/>
  <c r="G26" i="4" s="1"/>
  <c r="F27" i="4"/>
  <c r="G27" i="4" s="1"/>
  <c r="F28" i="4"/>
  <c r="G28" i="4" s="1"/>
  <c r="F29" i="4"/>
  <c r="G29" i="4" s="1"/>
  <c r="F30" i="4"/>
  <c r="G30" i="4" s="1"/>
  <c r="F31" i="4"/>
  <c r="G31" i="4" s="1"/>
  <c r="F32" i="4"/>
  <c r="G32" i="4" s="1"/>
  <c r="F33" i="4"/>
  <c r="G33" i="4" s="1"/>
  <c r="F34" i="4"/>
  <c r="G34" i="4" s="1"/>
  <c r="F35" i="4"/>
  <c r="G35" i="4" s="1"/>
  <c r="F36" i="4"/>
  <c r="G36" i="4" s="1"/>
  <c r="F37" i="4"/>
  <c r="G37" i="4" s="1"/>
  <c r="F38" i="4"/>
  <c r="G38" i="4" s="1"/>
  <c r="F39" i="4"/>
  <c r="G39" i="4" s="1"/>
  <c r="F40" i="4"/>
  <c r="G40" i="4" s="1"/>
  <c r="F41" i="4"/>
  <c r="G41" i="4" s="1"/>
  <c r="F42" i="4"/>
  <c r="G42" i="4" s="1"/>
  <c r="F43" i="4"/>
  <c r="G43" i="4" s="1"/>
  <c r="F44" i="4"/>
  <c r="G44" i="4" s="1"/>
  <c r="F45" i="4"/>
  <c r="G45" i="4" s="1"/>
  <c r="F10" i="4"/>
  <c r="G10" i="4" s="1"/>
  <c r="E6" i="4"/>
  <c r="E7" i="4"/>
  <c r="E8" i="4"/>
  <c r="E9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13" i="4"/>
  <c r="E14" i="4"/>
  <c r="E15" i="4"/>
  <c r="E5" i="4"/>
  <c r="E11" i="4"/>
  <c r="E12" i="4"/>
  <c r="E16" i="4"/>
  <c r="E10" i="4"/>
  <c r="F11" i="8"/>
  <c r="G11" i="8" s="1"/>
  <c r="G5" i="8"/>
  <c r="G9" i="8"/>
  <c r="G10" i="8"/>
  <c r="F12" i="8"/>
  <c r="G12" i="8" s="1"/>
  <c r="F13" i="8"/>
  <c r="G13" i="8" s="1"/>
  <c r="F14" i="8"/>
  <c r="G14" i="8" s="1"/>
  <c r="F15" i="8"/>
  <c r="G15" i="8" s="1"/>
  <c r="F16" i="8"/>
  <c r="G16" i="8" s="1"/>
  <c r="F17" i="8"/>
  <c r="G17" i="8" s="1"/>
  <c r="F18" i="8"/>
  <c r="G18" i="8" s="1"/>
  <c r="F19" i="8"/>
  <c r="G19" i="8" s="1"/>
  <c r="F20" i="8"/>
  <c r="G20" i="8" s="1"/>
  <c r="F21" i="8"/>
  <c r="G21" i="8" s="1"/>
  <c r="G8" i="8"/>
  <c r="F18" i="34"/>
  <c r="G18" i="34" s="1"/>
  <c r="F19" i="34"/>
  <c r="G19" i="34" s="1"/>
  <c r="F20" i="34"/>
  <c r="G20" i="34" s="1"/>
  <c r="F5" i="34"/>
  <c r="G5" i="34" s="1"/>
  <c r="F6" i="34"/>
  <c r="G6" i="34" s="1"/>
  <c r="F7" i="34"/>
  <c r="G7" i="34" s="1"/>
  <c r="F14" i="34"/>
  <c r="G14" i="34" s="1"/>
  <c r="F8" i="34"/>
  <c r="G8" i="34" s="1"/>
  <c r="F9" i="34"/>
  <c r="G9" i="34" s="1"/>
  <c r="F10" i="34"/>
  <c r="G10" i="34" s="1"/>
  <c r="F11" i="34"/>
  <c r="G11" i="34" s="1"/>
  <c r="F12" i="34"/>
  <c r="G12" i="34" s="1"/>
  <c r="F13" i="34"/>
  <c r="G13" i="34" s="1"/>
  <c r="F15" i="34"/>
  <c r="G15" i="34" s="1"/>
  <c r="F16" i="34"/>
  <c r="G16" i="34" s="1"/>
  <c r="F21" i="34"/>
  <c r="G21" i="34" s="1"/>
  <c r="F22" i="34"/>
  <c r="G22" i="34" s="1"/>
  <c r="F23" i="34"/>
  <c r="G23" i="34" s="1"/>
  <c r="F24" i="34"/>
  <c r="G24" i="34" s="1"/>
  <c r="F25" i="34"/>
  <c r="G25" i="34" s="1"/>
  <c r="F26" i="34"/>
  <c r="G26" i="34" s="1"/>
  <c r="F27" i="34"/>
  <c r="G27" i="34" s="1"/>
  <c r="F28" i="34"/>
  <c r="G28" i="34" s="1"/>
  <c r="F29" i="34"/>
  <c r="G29" i="34" s="1"/>
  <c r="F30" i="34"/>
  <c r="G30" i="34" s="1"/>
  <c r="F31" i="34"/>
  <c r="G31" i="34" s="1"/>
  <c r="F32" i="34"/>
  <c r="G32" i="34" s="1"/>
  <c r="F33" i="34"/>
  <c r="G33" i="34" s="1"/>
  <c r="F34" i="34"/>
  <c r="G34" i="34" s="1"/>
  <c r="F35" i="34"/>
  <c r="G35" i="34" s="1"/>
  <c r="F36" i="34"/>
  <c r="G36" i="34" s="1"/>
  <c r="F37" i="34"/>
  <c r="G37" i="34" s="1"/>
  <c r="F38" i="34"/>
  <c r="G38" i="34" s="1"/>
  <c r="F39" i="34"/>
  <c r="G39" i="34" s="1"/>
  <c r="F17" i="34"/>
  <c r="G17" i="34" s="1"/>
  <c r="E18" i="34"/>
  <c r="E19" i="34"/>
  <c r="E20" i="34"/>
  <c r="E5" i="34"/>
  <c r="E6" i="34"/>
  <c r="E7" i="34"/>
  <c r="E14" i="34"/>
  <c r="E8" i="34"/>
  <c r="E9" i="34"/>
  <c r="E10" i="34"/>
  <c r="E11" i="34"/>
  <c r="E12" i="34"/>
  <c r="E13" i="34"/>
  <c r="E15" i="34"/>
  <c r="E16" i="34"/>
  <c r="E21" i="34"/>
  <c r="E22" i="34"/>
  <c r="E23" i="34"/>
  <c r="E24" i="34"/>
  <c r="E25" i="34"/>
  <c r="E26" i="34"/>
  <c r="E27" i="34"/>
  <c r="E28" i="34"/>
  <c r="E29" i="34"/>
  <c r="E30" i="34"/>
  <c r="E31" i="34"/>
  <c r="E32" i="34"/>
  <c r="E33" i="34"/>
  <c r="E34" i="34"/>
  <c r="E35" i="34"/>
  <c r="E36" i="34"/>
  <c r="E37" i="34"/>
  <c r="E38" i="34"/>
  <c r="E39" i="34"/>
  <c r="E17" i="34"/>
  <c r="F5" i="2"/>
  <c r="G5" i="2" s="1"/>
  <c r="F6" i="2"/>
  <c r="G6" i="2" s="1"/>
  <c r="F7" i="2"/>
  <c r="G7" i="2" s="1"/>
  <c r="F8" i="2"/>
  <c r="G8" i="2" s="1"/>
  <c r="F10" i="2"/>
  <c r="G10" i="2" s="1"/>
  <c r="F11" i="2"/>
  <c r="G11" i="2" s="1"/>
  <c r="F12" i="2"/>
  <c r="G12" i="2" s="1"/>
  <c r="F13" i="2"/>
  <c r="G13" i="2" s="1"/>
  <c r="F14" i="2"/>
  <c r="G14" i="2" s="1"/>
  <c r="F15" i="2"/>
  <c r="G15" i="2" s="1"/>
  <c r="F16" i="2"/>
  <c r="G16" i="2" s="1"/>
  <c r="F17" i="2"/>
  <c r="G17" i="2" s="1"/>
  <c r="F9" i="2"/>
  <c r="G9" i="2" s="1"/>
  <c r="F15" i="37"/>
  <c r="G15" i="37" s="1"/>
  <c r="F16" i="37"/>
  <c r="G16" i="37" s="1"/>
  <c r="F17" i="37"/>
  <c r="G17" i="37" s="1"/>
  <c r="F10" i="37"/>
  <c r="G10" i="37" s="1"/>
  <c r="F11" i="37"/>
  <c r="G11" i="37" s="1"/>
  <c r="F5" i="37"/>
  <c r="G5" i="37" s="1"/>
  <c r="F6" i="37"/>
  <c r="G6" i="37" s="1"/>
  <c r="F7" i="37"/>
  <c r="G7" i="37" s="1"/>
  <c r="F8" i="37"/>
  <c r="G8" i="37" s="1"/>
  <c r="F9" i="37"/>
  <c r="G9" i="37" s="1"/>
  <c r="F12" i="37"/>
  <c r="G12" i="37" s="1"/>
  <c r="F18" i="37"/>
  <c r="G18" i="37" s="1"/>
  <c r="F19" i="37"/>
  <c r="G19" i="37" s="1"/>
  <c r="F20" i="37"/>
  <c r="G20" i="37" s="1"/>
  <c r="F21" i="37"/>
  <c r="G21" i="37" s="1"/>
  <c r="F13" i="37"/>
  <c r="G13" i="37" s="1"/>
  <c r="F14" i="37"/>
  <c r="G14" i="37" s="1"/>
  <c r="F13" i="5"/>
  <c r="G13" i="5" s="1"/>
  <c r="F8" i="5"/>
  <c r="G8" i="5" s="1"/>
  <c r="F9" i="5"/>
  <c r="G9" i="5" s="1"/>
  <c r="F10" i="5"/>
  <c r="G10" i="5" s="1"/>
  <c r="F11" i="5"/>
  <c r="G11" i="5" s="1"/>
  <c r="F14" i="5"/>
  <c r="G14" i="5" s="1"/>
  <c r="F15" i="5"/>
  <c r="G15" i="5" s="1"/>
  <c r="F16" i="5"/>
  <c r="G16" i="5" s="1"/>
  <c r="F17" i="5"/>
  <c r="G17" i="5" s="1"/>
  <c r="F18" i="5"/>
  <c r="G18" i="5" s="1"/>
  <c r="F19" i="5"/>
  <c r="G19" i="5" s="1"/>
  <c r="F20" i="5"/>
  <c r="G20" i="5" s="1"/>
  <c r="F21" i="5"/>
  <c r="G21" i="5" s="1"/>
  <c r="F22" i="5"/>
  <c r="G22" i="5" s="1"/>
  <c r="F23" i="5"/>
  <c r="G23" i="5" s="1"/>
  <c r="F24" i="5"/>
  <c r="G24" i="5" s="1"/>
  <c r="F25" i="5"/>
  <c r="G25" i="5" s="1"/>
  <c r="F26" i="5"/>
  <c r="G26" i="5" s="1"/>
  <c r="F27" i="5"/>
  <c r="G27" i="5" s="1"/>
  <c r="F28" i="5"/>
  <c r="G28" i="5" s="1"/>
  <c r="F29" i="5"/>
  <c r="G29" i="5" s="1"/>
  <c r="F30" i="5"/>
  <c r="G30" i="5" s="1"/>
  <c r="F31" i="5"/>
  <c r="G31" i="5" s="1"/>
  <c r="F32" i="5"/>
  <c r="G32" i="5" s="1"/>
  <c r="F33" i="5"/>
  <c r="G33" i="5" s="1"/>
  <c r="F34" i="5"/>
  <c r="G34" i="5" s="1"/>
  <c r="F35" i="5"/>
  <c r="G35" i="5" s="1"/>
  <c r="F36" i="5"/>
  <c r="G36" i="5" s="1"/>
  <c r="F37" i="5"/>
  <c r="G37" i="5" s="1"/>
  <c r="F12" i="5"/>
  <c r="G12" i="5" s="1"/>
  <c r="H12" i="6" l="1"/>
  <c r="I12" i="6" s="1"/>
  <c r="H7" i="34"/>
  <c r="I7" i="34" s="1"/>
  <c r="H6" i="34"/>
  <c r="I6" i="34" s="1"/>
  <c r="H5" i="34"/>
  <c r="I5" i="34" s="1"/>
  <c r="H12" i="34"/>
  <c r="I12" i="34" s="1"/>
  <c r="H22" i="10"/>
  <c r="I22" i="10" s="1"/>
  <c r="H21" i="10"/>
  <c r="I21" i="10" s="1"/>
  <c r="H5" i="4"/>
  <c r="I5" i="4" s="1"/>
  <c r="H14" i="34"/>
  <c r="I14" i="34" s="1"/>
  <c r="H23" i="10"/>
  <c r="I23" i="10" s="1"/>
  <c r="H15" i="34"/>
  <c r="I15" i="34" s="1"/>
  <c r="H34" i="34"/>
  <c r="I34" i="34" s="1"/>
  <c r="H13" i="34"/>
  <c r="I13" i="34" s="1"/>
  <c r="H11" i="34"/>
  <c r="I11" i="34" s="1"/>
  <c r="H10" i="34"/>
  <c r="I10" i="34" s="1"/>
  <c r="H33" i="34"/>
  <c r="I33" i="34" s="1"/>
  <c r="H9" i="34"/>
  <c r="I9" i="34" s="1"/>
  <c r="H8" i="34"/>
  <c r="I8" i="34" s="1"/>
  <c r="H15" i="4"/>
  <c r="I15" i="4" s="1"/>
  <c r="H14" i="4"/>
  <c r="I14" i="4" s="1"/>
  <c r="H13" i="4"/>
  <c r="I13" i="4" s="1"/>
  <c r="H5" i="6"/>
  <c r="I5" i="6" s="1"/>
  <c r="H20" i="34"/>
  <c r="I20" i="34" s="1"/>
  <c r="H39" i="34"/>
  <c r="I39" i="34" s="1"/>
  <c r="H38" i="34"/>
  <c r="I38" i="34" s="1"/>
  <c r="H22" i="34"/>
  <c r="I22" i="34" s="1"/>
  <c r="H37" i="34"/>
  <c r="I37" i="34" s="1"/>
  <c r="H36" i="34"/>
  <c r="I36" i="34" s="1"/>
  <c r="H21" i="34"/>
  <c r="I21" i="34" s="1"/>
  <c r="H15" i="6"/>
  <c r="I15" i="6" s="1"/>
  <c r="H7" i="6"/>
  <c r="I7" i="6" s="1"/>
  <c r="H10" i="6"/>
  <c r="I10" i="6" s="1"/>
  <c r="H6" i="6"/>
  <c r="I6" i="6" s="1"/>
  <c r="H17" i="6"/>
  <c r="I17" i="6" s="1"/>
  <c r="H16" i="6"/>
  <c r="I16" i="6" s="1"/>
  <c r="H14" i="6"/>
  <c r="I14" i="6" s="1"/>
  <c r="H13" i="6"/>
  <c r="I13" i="6" s="1"/>
  <c r="H18" i="6"/>
  <c r="I18" i="6" s="1"/>
  <c r="H32" i="34"/>
  <c r="I32" i="34" s="1"/>
  <c r="H19" i="34"/>
  <c r="I19" i="34" s="1"/>
  <c r="H31" i="34"/>
  <c r="I31" i="34" s="1"/>
  <c r="H18" i="34"/>
  <c r="I18" i="34" s="1"/>
  <c r="H30" i="34"/>
  <c r="I30" i="34" s="1"/>
  <c r="H29" i="34"/>
  <c r="I29" i="34" s="1"/>
  <c r="H28" i="34"/>
  <c r="I28" i="34" s="1"/>
  <c r="H27" i="34"/>
  <c r="I27" i="34" s="1"/>
  <c r="H26" i="34"/>
  <c r="I26" i="34" s="1"/>
  <c r="H17" i="34"/>
  <c r="I17" i="34" s="1"/>
  <c r="H25" i="34"/>
  <c r="I25" i="34" s="1"/>
  <c r="H24" i="34"/>
  <c r="I24" i="34" s="1"/>
  <c r="H23" i="34"/>
  <c r="I23" i="34" s="1"/>
  <c r="H35" i="34"/>
  <c r="I35" i="34" s="1"/>
  <c r="H16" i="34"/>
  <c r="I16" i="34" s="1"/>
  <c r="G20" i="1" l="1"/>
  <c r="G21" i="1"/>
  <c r="E15" i="37" l="1"/>
  <c r="E16" i="37"/>
  <c r="E17" i="37"/>
  <c r="E10" i="37"/>
  <c r="E11" i="37"/>
  <c r="E5" i="37"/>
  <c r="H5" i="37" s="1"/>
  <c r="E6" i="37"/>
  <c r="E7" i="37"/>
  <c r="H7" i="37" s="1"/>
  <c r="E8" i="37"/>
  <c r="H8" i="37" s="1"/>
  <c r="E9" i="37"/>
  <c r="H9" i="37" s="1"/>
  <c r="E12" i="37"/>
  <c r="H12" i="37" s="1"/>
  <c r="E18" i="37"/>
  <c r="H18" i="37" s="1"/>
  <c r="E19" i="37"/>
  <c r="H19" i="37" s="1"/>
  <c r="E20" i="37"/>
  <c r="E21" i="37"/>
  <c r="E13" i="37"/>
  <c r="E14" i="37"/>
  <c r="I7" i="37" l="1"/>
  <c r="I8" i="37"/>
  <c r="I9" i="37"/>
  <c r="I12" i="37"/>
  <c r="I18" i="37"/>
  <c r="I19" i="37"/>
  <c r="E20" i="5"/>
  <c r="H20" i="5" s="1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14" i="5"/>
  <c r="H14" i="5" s="1"/>
  <c r="I14" i="5" s="1"/>
  <c r="E15" i="5"/>
  <c r="H15" i="5" s="1"/>
  <c r="I15" i="5" s="1"/>
  <c r="E16" i="5"/>
  <c r="H16" i="5" s="1"/>
  <c r="I16" i="5" s="1"/>
  <c r="E17" i="5"/>
  <c r="H17" i="5" s="1"/>
  <c r="I17" i="5" s="1"/>
  <c r="E18" i="5"/>
  <c r="H18" i="5" s="1"/>
  <c r="I18" i="5" s="1"/>
  <c r="E19" i="5"/>
  <c r="H19" i="5" s="1"/>
  <c r="I19" i="5" s="1"/>
  <c r="E8" i="5"/>
  <c r="E9" i="5"/>
  <c r="E10" i="5"/>
  <c r="E11" i="5"/>
  <c r="E12" i="5"/>
  <c r="G6" i="1"/>
  <c r="G10" i="1"/>
  <c r="G11" i="1"/>
  <c r="G12" i="1"/>
  <c r="G13" i="1"/>
  <c r="G14" i="1"/>
  <c r="G5" i="1"/>
  <c r="G17" i="1"/>
  <c r="G18" i="1"/>
  <c r="G19" i="1"/>
  <c r="G50" i="1"/>
  <c r="G51" i="1"/>
  <c r="H6" i="1" l="1"/>
  <c r="I6" i="1" s="1"/>
  <c r="H18" i="1"/>
  <c r="I18" i="1" s="1"/>
  <c r="H51" i="1"/>
  <c r="I51" i="1" s="1"/>
  <c r="H19" i="1"/>
  <c r="I19" i="1" s="1"/>
  <c r="H14" i="1"/>
  <c r="I14" i="1" s="1"/>
  <c r="H13" i="1"/>
  <c r="I13" i="1" s="1"/>
  <c r="H12" i="1"/>
  <c r="I12" i="1" s="1"/>
  <c r="H50" i="1"/>
  <c r="I50" i="1" s="1"/>
  <c r="H11" i="1"/>
  <c r="I11" i="1" s="1"/>
  <c r="H10" i="1"/>
  <c r="I10" i="1" s="1"/>
  <c r="H5" i="1"/>
  <c r="I5" i="1" s="1"/>
  <c r="H17" i="1"/>
  <c r="I17" i="1" s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15" i="1"/>
  <c r="G16" i="1"/>
  <c r="G8" i="1"/>
  <c r="G9" i="1"/>
  <c r="G7" i="1"/>
  <c r="E6" i="2"/>
  <c r="E5" i="2"/>
  <c r="E17" i="2"/>
  <c r="E7" i="2"/>
  <c r="E16" i="2"/>
  <c r="E8" i="2"/>
  <c r="E11" i="2"/>
  <c r="E9" i="2"/>
  <c r="E14" i="2"/>
  <c r="E15" i="2"/>
  <c r="E13" i="2"/>
  <c r="E10" i="2"/>
  <c r="E12" i="2"/>
  <c r="H14" i="37" l="1"/>
  <c r="H15" i="37"/>
  <c r="H20" i="37"/>
  <c r="H16" i="37"/>
  <c r="H17" i="37"/>
  <c r="H10" i="37"/>
  <c r="H11" i="37"/>
  <c r="H13" i="37"/>
  <c r="H6" i="37"/>
  <c r="H21" i="37"/>
  <c r="H9" i="2"/>
  <c r="I9" i="2" s="1"/>
  <c r="H6" i="2"/>
  <c r="I6" i="2" s="1"/>
  <c r="H13" i="2"/>
  <c r="I13" i="2" s="1"/>
  <c r="H16" i="2"/>
  <c r="I16" i="2" s="1"/>
  <c r="H14" i="2"/>
  <c r="I14" i="2" s="1"/>
  <c r="H17" i="2"/>
  <c r="I17" i="2" s="1"/>
  <c r="H12" i="2"/>
  <c r="I12" i="2" s="1"/>
  <c r="H11" i="2"/>
  <c r="I11" i="2" s="1"/>
  <c r="H5" i="2"/>
  <c r="I5" i="2" s="1"/>
  <c r="H10" i="2"/>
  <c r="I10" i="2" s="1"/>
  <c r="H15" i="2"/>
  <c r="I15" i="2" s="1"/>
  <c r="H8" i="2"/>
  <c r="I8" i="2" s="1"/>
  <c r="H7" i="2"/>
  <c r="I7" i="2" s="1"/>
  <c r="E8" i="8" l="1"/>
  <c r="E17" i="8" l="1"/>
  <c r="E12" i="8"/>
  <c r="E15" i="8"/>
  <c r="E20" i="8"/>
  <c r="E16" i="8"/>
  <c r="E19" i="10"/>
  <c r="E17" i="10"/>
  <c r="E6" i="10"/>
  <c r="E5" i="8" l="1"/>
  <c r="E21" i="8" l="1"/>
  <c r="E9" i="8"/>
  <c r="E11" i="8"/>
  <c r="E10" i="8"/>
  <c r="E18" i="8"/>
  <c r="E19" i="8"/>
  <c r="E13" i="8"/>
  <c r="E14" i="8"/>
  <c r="E18" i="10" l="1"/>
  <c r="H28" i="1" l="1"/>
  <c r="I28" i="1" s="1"/>
  <c r="H33" i="1"/>
  <c r="I33" i="1" s="1"/>
  <c r="H47" i="1"/>
  <c r="I47" i="1" s="1"/>
  <c r="H9" i="1"/>
  <c r="I9" i="1" s="1"/>
  <c r="H36" i="1"/>
  <c r="I36" i="1" s="1"/>
  <c r="H41" i="1"/>
  <c r="I41" i="1" s="1"/>
  <c r="H8" i="1"/>
  <c r="I8" i="1" s="1"/>
  <c r="H15" i="1"/>
  <c r="I15" i="1" s="1"/>
  <c r="H31" i="1"/>
  <c r="I31" i="1" s="1"/>
  <c r="H23" i="1"/>
  <c r="I23" i="1" s="1"/>
  <c r="H26" i="1"/>
  <c r="I26" i="1" s="1"/>
  <c r="H30" i="1"/>
  <c r="I30" i="1" s="1"/>
  <c r="H43" i="1"/>
  <c r="I43" i="1" s="1"/>
  <c r="H37" i="1"/>
  <c r="I37" i="1" s="1"/>
  <c r="H35" i="1"/>
  <c r="I35" i="1" s="1"/>
  <c r="H48" i="1"/>
  <c r="I48" i="1" s="1"/>
  <c r="H38" i="1"/>
  <c r="I38" i="1" s="1"/>
  <c r="H45" i="1"/>
  <c r="I45" i="1" s="1"/>
  <c r="H44" i="1"/>
  <c r="I44" i="1" s="1"/>
  <c r="H49" i="1"/>
  <c r="I49" i="1" s="1"/>
  <c r="H32" i="1"/>
  <c r="I32" i="1" s="1"/>
  <c r="H16" i="1"/>
  <c r="I16" i="1" s="1"/>
  <c r="H21" i="1"/>
  <c r="I21" i="1" s="1"/>
  <c r="H42" i="1"/>
  <c r="I42" i="1" s="1"/>
  <c r="H22" i="1"/>
  <c r="I22" i="1" s="1"/>
  <c r="H29" i="1"/>
  <c r="I29" i="1" s="1"/>
  <c r="H7" i="1"/>
  <c r="I7" i="1" s="1"/>
  <c r="H27" i="1"/>
  <c r="I27" i="1" s="1"/>
  <c r="H39" i="1"/>
  <c r="I39" i="1" s="1"/>
  <c r="H20" i="1"/>
  <c r="I20" i="1" s="1"/>
  <c r="H24" i="1"/>
  <c r="I24" i="1" s="1"/>
  <c r="H40" i="1"/>
  <c r="I40" i="1" s="1"/>
  <c r="H34" i="1"/>
  <c r="I34" i="1" s="1"/>
  <c r="H46" i="1"/>
  <c r="I46" i="1" s="1"/>
  <c r="H25" i="1"/>
  <c r="I25" i="1" s="1"/>
  <c r="H20" i="4"/>
  <c r="I20" i="4" s="1"/>
  <c r="H17" i="8"/>
  <c r="I17" i="8" s="1"/>
  <c r="H33" i="10"/>
  <c r="I33" i="10" s="1"/>
  <c r="H9" i="6" l="1"/>
  <c r="I9" i="6" s="1"/>
  <c r="H7" i="4"/>
  <c r="I7" i="4" s="1"/>
  <c r="H12" i="10"/>
  <c r="I12" i="10" s="1"/>
  <c r="H10" i="4"/>
  <c r="I10" i="4" s="1"/>
  <c r="H17" i="10"/>
  <c r="I17" i="10" s="1"/>
  <c r="H10" i="8"/>
  <c r="I10" i="8" s="1"/>
  <c r="H23" i="6"/>
  <c r="I23" i="6" s="1"/>
  <c r="H19" i="6"/>
  <c r="I19" i="6" s="1"/>
  <c r="H23" i="4"/>
  <c r="I23" i="4" s="1"/>
  <c r="H35" i="4"/>
  <c r="I35" i="4" s="1"/>
  <c r="H19" i="4"/>
  <c r="I19" i="4" s="1"/>
  <c r="H27" i="10"/>
  <c r="I27" i="10" s="1"/>
  <c r="H37" i="4"/>
  <c r="I37" i="4" s="1"/>
  <c r="H24" i="6"/>
  <c r="I24" i="6" s="1"/>
  <c r="H16" i="8"/>
  <c r="I16" i="8" s="1"/>
  <c r="H13" i="5"/>
  <c r="I13" i="5" s="1"/>
  <c r="H12" i="8"/>
  <c r="I12" i="8" s="1"/>
  <c r="H26" i="5"/>
  <c r="I26" i="5" s="1"/>
  <c r="H20" i="8"/>
  <c r="I20" i="8" s="1"/>
  <c r="H8" i="5"/>
  <c r="I8" i="5" s="1"/>
  <c r="H13" i="10"/>
  <c r="I13" i="10" s="1"/>
  <c r="H28" i="4"/>
  <c r="I28" i="4" s="1"/>
  <c r="H17" i="4"/>
  <c r="I17" i="4" s="1"/>
  <c r="H26" i="10"/>
  <c r="I26" i="10" s="1"/>
  <c r="H28" i="5"/>
  <c r="I28" i="5" s="1"/>
  <c r="H11" i="10"/>
  <c r="I11" i="10" s="1"/>
  <c r="H21" i="8"/>
  <c r="I21" i="8" s="1"/>
  <c r="H32" i="5"/>
  <c r="I32" i="5" s="1"/>
  <c r="H24" i="4"/>
  <c r="I24" i="4" s="1"/>
  <c r="H36" i="4"/>
  <c r="I36" i="4" s="1"/>
  <c r="H18" i="4"/>
  <c r="I18" i="4" s="1"/>
  <c r="H30" i="5"/>
  <c r="I30" i="5" s="1"/>
  <c r="H12" i="5"/>
  <c r="I12" i="5" s="1"/>
  <c r="H35" i="5"/>
  <c r="I35" i="5" s="1"/>
  <c r="H15" i="10"/>
  <c r="I15" i="10" s="1"/>
  <c r="H29" i="10"/>
  <c r="I29" i="10" s="1"/>
  <c r="H25" i="10"/>
  <c r="I25" i="10" s="1"/>
  <c r="H30" i="10"/>
  <c r="I30" i="10" s="1"/>
  <c r="H31" i="10"/>
  <c r="I31" i="10" s="1"/>
  <c r="H18" i="10"/>
  <c r="I18" i="10" s="1"/>
  <c r="H35" i="10"/>
  <c r="I35" i="10" s="1"/>
  <c r="H19" i="10"/>
  <c r="I19" i="10" s="1"/>
  <c r="H34" i="10"/>
  <c r="I34" i="10" s="1"/>
  <c r="H36" i="10"/>
  <c r="I36" i="10" s="1"/>
  <c r="H28" i="10"/>
  <c r="I28" i="10" s="1"/>
  <c r="H6" i="10"/>
  <c r="I6" i="10" s="1"/>
  <c r="H32" i="10"/>
  <c r="I32" i="10" s="1"/>
  <c r="H32" i="6"/>
  <c r="I32" i="6" s="1"/>
  <c r="H27" i="5"/>
  <c r="I27" i="5" s="1"/>
  <c r="H14" i="10"/>
  <c r="I14" i="10" s="1"/>
  <c r="H37" i="5"/>
  <c r="I37" i="5" s="1"/>
  <c r="I20" i="5"/>
  <c r="H30" i="6"/>
  <c r="I30" i="6" s="1"/>
  <c r="H31" i="6"/>
  <c r="I31" i="6" s="1"/>
  <c r="H25" i="6"/>
  <c r="I25" i="6" s="1"/>
  <c r="H27" i="6"/>
  <c r="I27" i="6" s="1"/>
  <c r="H26" i="6"/>
  <c r="I26" i="6" s="1"/>
  <c r="H8" i="6"/>
  <c r="I8" i="6" s="1"/>
  <c r="H20" i="6"/>
  <c r="I20" i="6" s="1"/>
  <c r="H22" i="6"/>
  <c r="I22" i="6" s="1"/>
  <c r="H29" i="6"/>
  <c r="I29" i="6" s="1"/>
  <c r="H21" i="6"/>
  <c r="I21" i="6" s="1"/>
  <c r="H11" i="6"/>
  <c r="I11" i="6" s="1"/>
  <c r="H28" i="6"/>
  <c r="I28" i="6" s="1"/>
  <c r="H36" i="5"/>
  <c r="I36" i="5" s="1"/>
  <c r="H21" i="5"/>
  <c r="I21" i="5" s="1"/>
  <c r="H11" i="5"/>
  <c r="I11" i="5" s="1"/>
  <c r="H24" i="5"/>
  <c r="I24" i="5" s="1"/>
  <c r="H33" i="5"/>
  <c r="I33" i="5" s="1"/>
  <c r="H22" i="5"/>
  <c r="I22" i="5" s="1"/>
  <c r="H31" i="5"/>
  <c r="I31" i="5" s="1"/>
  <c r="H29" i="5"/>
  <c r="I29" i="5" s="1"/>
  <c r="H9" i="5"/>
  <c r="I9" i="5" s="1"/>
  <c r="H10" i="5"/>
  <c r="I10" i="5" s="1"/>
  <c r="H25" i="5"/>
  <c r="I25" i="5" s="1"/>
  <c r="H34" i="5"/>
  <c r="I34" i="5" s="1"/>
  <c r="H23" i="5"/>
  <c r="I23" i="5" s="1"/>
  <c r="H43" i="4"/>
  <c r="I43" i="4" s="1"/>
  <c r="H31" i="4"/>
  <c r="I31" i="4" s="1"/>
  <c r="H33" i="4"/>
  <c r="I33" i="4" s="1"/>
  <c r="H32" i="4"/>
  <c r="I32" i="4" s="1"/>
  <c r="H18" i="8"/>
  <c r="I18" i="8" s="1"/>
  <c r="H14" i="8"/>
  <c r="I14" i="8" s="1"/>
  <c r="H8" i="8"/>
  <c r="I8" i="8" s="1"/>
  <c r="H5" i="8"/>
  <c r="I5" i="8" s="1"/>
  <c r="H38" i="4"/>
  <c r="I38" i="4" s="1"/>
  <c r="H45" i="4"/>
  <c r="I45" i="4" s="1"/>
  <c r="H27" i="4"/>
  <c r="I27" i="4" s="1"/>
  <c r="H26" i="4"/>
  <c r="I26" i="4" s="1"/>
  <c r="H29" i="4"/>
  <c r="I29" i="4" s="1"/>
  <c r="H21" i="4"/>
  <c r="I21" i="4" s="1"/>
  <c r="H25" i="4"/>
  <c r="I25" i="4" s="1"/>
  <c r="H11" i="4"/>
  <c r="I11" i="4" s="1"/>
  <c r="H8" i="4"/>
  <c r="I8" i="4" s="1"/>
  <c r="H9" i="8"/>
  <c r="I9" i="8" s="1"/>
  <c r="H41" i="4"/>
  <c r="I41" i="4" s="1"/>
  <c r="H34" i="4"/>
  <c r="I34" i="4" s="1"/>
  <c r="H12" i="4"/>
  <c r="I12" i="4" s="1"/>
  <c r="H11" i="8"/>
  <c r="I11" i="8" s="1"/>
  <c r="H30" i="4"/>
  <c r="I30" i="4" s="1"/>
  <c r="H44" i="4"/>
  <c r="I44" i="4" s="1"/>
  <c r="H13" i="8"/>
  <c r="I13" i="8" s="1"/>
  <c r="H40" i="4"/>
  <c r="I40" i="4" s="1"/>
  <c r="H15" i="8"/>
  <c r="I15" i="8" s="1"/>
  <c r="H39" i="4"/>
  <c r="I39" i="4" s="1"/>
  <c r="H22" i="4"/>
  <c r="I22" i="4" s="1"/>
  <c r="H6" i="4"/>
  <c r="I6" i="4" s="1"/>
  <c r="H9" i="4"/>
  <c r="I9" i="4" s="1"/>
  <c r="H16" i="4"/>
  <c r="I16" i="4" s="1"/>
  <c r="H42" i="4"/>
  <c r="I42" i="4" s="1"/>
  <c r="H19" i="8"/>
  <c r="I19" i="8" s="1"/>
  <c r="I5" i="37" l="1"/>
  <c r="I16" i="37"/>
  <c r="I17" i="37"/>
  <c r="I21" i="37"/>
  <c r="I15" i="37"/>
  <c r="I10" i="37"/>
  <c r="I20" i="37"/>
  <c r="I14" i="37"/>
  <c r="I11" i="37"/>
  <c r="I13" i="37"/>
  <c r="I6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<sst xmlns="http://schemas.openxmlformats.org/spreadsheetml/2006/main" count="1066" uniqueCount="461">
  <si>
    <t>Code</t>
  </si>
  <si>
    <t>Description</t>
  </si>
  <si>
    <t>Labor Time</t>
  </si>
  <si>
    <t>Vehicle Invoice</t>
  </si>
  <si>
    <t xml:space="preserve">MSRP on Window Sticker </t>
  </si>
  <si>
    <t>Estimated Service Gross</t>
  </si>
  <si>
    <t>Sales Dept.  Margin</t>
  </si>
  <si>
    <t xml:space="preserve">Total Profit Opportunity </t>
  </si>
  <si>
    <t>ROI</t>
  </si>
  <si>
    <t>PDB</t>
  </si>
  <si>
    <t>VQK</t>
  </si>
  <si>
    <t>PDV</t>
  </si>
  <si>
    <t>SFZ</t>
  </si>
  <si>
    <t>WH6</t>
  </si>
  <si>
    <t>R88</t>
  </si>
  <si>
    <t>SFE</t>
  </si>
  <si>
    <t>Wheel Locks</t>
  </si>
  <si>
    <t>RIK</t>
  </si>
  <si>
    <t>SBZ</t>
  </si>
  <si>
    <t>VLL</t>
  </si>
  <si>
    <t>PCP</t>
  </si>
  <si>
    <t>VRV</t>
  </si>
  <si>
    <t>VXW</t>
  </si>
  <si>
    <t>S41</t>
  </si>
  <si>
    <t>Rear Wheelhouse Liners</t>
  </si>
  <si>
    <t>RGL</t>
  </si>
  <si>
    <t>Molded Splash Guards</t>
  </si>
  <si>
    <t>S0M</t>
  </si>
  <si>
    <t>Sport Pedal Cover Kit</t>
  </si>
  <si>
    <t>Wheel Lock Kit</t>
  </si>
  <si>
    <t>Warranty Labor Rate</t>
  </si>
  <si>
    <t>Dealer Service Gross %</t>
  </si>
  <si>
    <t>PDR</t>
  </si>
  <si>
    <t xml:space="preserve"> </t>
  </si>
  <si>
    <t>PDE</t>
  </si>
  <si>
    <t>5JY</t>
  </si>
  <si>
    <t>RIA</t>
  </si>
  <si>
    <t>RVQ</t>
  </si>
  <si>
    <t>RVS</t>
  </si>
  <si>
    <t>VOZ</t>
  </si>
  <si>
    <t>VPB</t>
  </si>
  <si>
    <t>VQO</t>
  </si>
  <si>
    <t>VQZ</t>
  </si>
  <si>
    <t>VXH</t>
  </si>
  <si>
    <t>VXJ</t>
  </si>
  <si>
    <t>63G</t>
  </si>
  <si>
    <t>SBY</t>
  </si>
  <si>
    <t>AAK</t>
  </si>
  <si>
    <t>VTA</t>
  </si>
  <si>
    <t>VT2</t>
  </si>
  <si>
    <t>S6L</t>
  </si>
  <si>
    <t>VBJ</t>
  </si>
  <si>
    <t>SGM</t>
  </si>
  <si>
    <t>SEZ</t>
  </si>
  <si>
    <t>SRV</t>
  </si>
  <si>
    <t>TRO</t>
  </si>
  <si>
    <t>PCX</t>
  </si>
  <si>
    <t>PDH</t>
  </si>
  <si>
    <t>PDG</t>
  </si>
  <si>
    <t>CAV</t>
  </si>
  <si>
    <t>VAV</t>
  </si>
  <si>
    <t>VKU</t>
  </si>
  <si>
    <t>VLI</t>
  </si>
  <si>
    <t>VRS</t>
  </si>
  <si>
    <t>VTB</t>
  </si>
  <si>
    <t>W2D</t>
  </si>
  <si>
    <t>Cargo Net</t>
  </si>
  <si>
    <t>Roof Rack Cross Rails</t>
  </si>
  <si>
    <t>RWU</t>
  </si>
  <si>
    <t>PCM</t>
  </si>
  <si>
    <t>PCH</t>
  </si>
  <si>
    <t>S6P</t>
  </si>
  <si>
    <t>VYW</t>
  </si>
  <si>
    <t>PCN</t>
  </si>
  <si>
    <t>RZ9</t>
  </si>
  <si>
    <t>All-Weather Floor Mats</t>
  </si>
  <si>
    <t>Cargo Shade</t>
  </si>
  <si>
    <t>All-Weather Floor Liners</t>
  </si>
  <si>
    <t>PDF</t>
  </si>
  <si>
    <t>Integrated Cargo Liner</t>
  </si>
  <si>
    <t>SJB</t>
  </si>
  <si>
    <t>SPZ</t>
  </si>
  <si>
    <t>RIB</t>
  </si>
  <si>
    <t>SNO</t>
  </si>
  <si>
    <t>SHH</t>
  </si>
  <si>
    <t>SKX</t>
  </si>
  <si>
    <t>SQ9</t>
  </si>
  <si>
    <t>Auxiliary Trailer Camera</t>
  </si>
  <si>
    <t>RGH</t>
  </si>
  <si>
    <t>5RU</t>
  </si>
  <si>
    <t>S3I</t>
  </si>
  <si>
    <t>SFJ</t>
  </si>
  <si>
    <t>WBC</t>
  </si>
  <si>
    <t>S1O</t>
  </si>
  <si>
    <t>SRL</t>
  </si>
  <si>
    <t>SSW</t>
  </si>
  <si>
    <t>VQQ</t>
  </si>
  <si>
    <t>PCI</t>
  </si>
  <si>
    <t>SIQ</t>
  </si>
  <si>
    <t>SIR</t>
  </si>
  <si>
    <t>5VI</t>
  </si>
  <si>
    <t>Cargo Tie-Down Rings</t>
  </si>
  <si>
    <t>NAA</t>
  </si>
  <si>
    <t>5VQ</t>
  </si>
  <si>
    <t>RVP</t>
  </si>
  <si>
    <t>SPY</t>
  </si>
  <si>
    <t>Black Lug Nuts</t>
  </si>
  <si>
    <t>SDA</t>
  </si>
  <si>
    <t>Front and Rear Splash Guards</t>
  </si>
  <si>
    <t>PCQ</t>
  </si>
  <si>
    <t>S1H</t>
  </si>
  <si>
    <t>SAX</t>
  </si>
  <si>
    <t>SB1</t>
  </si>
  <si>
    <t>Remote Start Kit</t>
  </si>
  <si>
    <t>Vinyl Tonneau Cover</t>
  </si>
  <si>
    <t>SNX</t>
  </si>
  <si>
    <t>SQI</t>
  </si>
  <si>
    <t>VZT</t>
  </si>
  <si>
    <t>Black Assist Step</t>
  </si>
  <si>
    <t>5JL</t>
  </si>
  <si>
    <t>SBL</t>
  </si>
  <si>
    <t>SAK</t>
  </si>
  <si>
    <t>PCR</t>
  </si>
  <si>
    <t>SDE</t>
  </si>
  <si>
    <t>SMB</t>
  </si>
  <si>
    <t>Bright Wheel Locks</t>
  </si>
  <si>
    <t>PDO</t>
  </si>
  <si>
    <t>RVY</t>
  </si>
  <si>
    <t>SJS</t>
  </si>
  <si>
    <t>5XC</t>
  </si>
  <si>
    <t>Snorkel</t>
  </si>
  <si>
    <t>RWF</t>
  </si>
  <si>
    <t>S0Y</t>
  </si>
  <si>
    <t>SA5</t>
  </si>
  <si>
    <t>SDT</t>
  </si>
  <si>
    <t>Utility Wall Trailer Hitch Holder</t>
  </si>
  <si>
    <t>UNW</t>
  </si>
  <si>
    <t>VBR</t>
  </si>
  <si>
    <t>Bright Exhaust Tip</t>
  </si>
  <si>
    <t>VST</t>
  </si>
  <si>
    <t>Door Sill Plates</t>
  </si>
  <si>
    <t>PDN</t>
  </si>
  <si>
    <t>S4X</t>
  </si>
  <si>
    <t>RFZ</t>
  </si>
  <si>
    <t>RFN</t>
  </si>
  <si>
    <t>SHX</t>
  </si>
  <si>
    <t>SAY</t>
  </si>
  <si>
    <t>Trailer Hitch</t>
  </si>
  <si>
    <t>PDK</t>
  </si>
  <si>
    <t>PCK</t>
  </si>
  <si>
    <t>PCL</t>
  </si>
  <si>
    <t>PCV</t>
  </si>
  <si>
    <t>PCW</t>
  </si>
  <si>
    <t>All-Weather Floor Liner</t>
  </si>
  <si>
    <t>Illuminated Perimeter Rocker Lighting</t>
  </si>
  <si>
    <t>SIM</t>
  </si>
  <si>
    <t>WH9</t>
  </si>
  <si>
    <t>5WI</t>
  </si>
  <si>
    <t>S4K</t>
  </si>
  <si>
    <t>SES</t>
  </si>
  <si>
    <t>RSI</t>
  </si>
  <si>
    <t>Truck Bed Organizer</t>
  </si>
  <si>
    <t>RYC</t>
  </si>
  <si>
    <t>SEU</t>
  </si>
  <si>
    <t>SL7</t>
  </si>
  <si>
    <t>VMK</t>
  </si>
  <si>
    <t>Cargo Management System Rails</t>
  </si>
  <si>
    <t>Splash Guards</t>
  </si>
  <si>
    <t>eTrunk Vertical Cargo Area Divider</t>
  </si>
  <si>
    <t>22" Bright Aluminum Wheels</t>
  </si>
  <si>
    <t>Sales Margin</t>
  </si>
  <si>
    <t>Service Margin</t>
  </si>
  <si>
    <t>Dealer Margin</t>
  </si>
  <si>
    <t>EU2</t>
  </si>
  <si>
    <t>Off-Road Assist Steps</t>
  </si>
  <si>
    <t>Black Assist Steps</t>
  </si>
  <si>
    <t>RWQ</t>
  </si>
  <si>
    <t>Center Console Lockable Storage Box</t>
  </si>
  <si>
    <t>22" Polished Aluminum Wheels</t>
  </si>
  <si>
    <t>SEV</t>
  </si>
  <si>
    <t>22" Carbon Flash Metallic Wheels</t>
  </si>
  <si>
    <t>SFU</t>
  </si>
  <si>
    <t>22" High Gloss Black Wheels</t>
  </si>
  <si>
    <t>Tri-Fold Hard Tonneau Cover</t>
  </si>
  <si>
    <t>VZX</t>
  </si>
  <si>
    <t>Hitch Package</t>
  </si>
  <si>
    <t>20" Machined Aluminum Bolt Pattern with High Gloss Black Accents</t>
  </si>
  <si>
    <t>Chrome Assist Steps</t>
  </si>
  <si>
    <t>5AV</t>
  </si>
  <si>
    <t>5CH</t>
  </si>
  <si>
    <t>RWV</t>
  </si>
  <si>
    <t>RYO</t>
  </si>
  <si>
    <t>Roof Sunshade</t>
  </si>
  <si>
    <t>RYU</t>
  </si>
  <si>
    <t>Off-Road Recovery Kit</t>
  </si>
  <si>
    <t>Hard Folding Truck Bed Cover by RealTruck Advantage</t>
  </si>
  <si>
    <t>Soft Rolling Truck Bed Cover</t>
  </si>
  <si>
    <t>Invoice</t>
  </si>
  <si>
    <t>MSRP</t>
  </si>
  <si>
    <t>AAO</t>
  </si>
  <si>
    <t>VBP</t>
  </si>
  <si>
    <t>RIS</t>
  </si>
  <si>
    <t>Estimated Sales Gross</t>
  </si>
  <si>
    <t>RYH</t>
  </si>
  <si>
    <t>Roof Cross Rails</t>
  </si>
  <si>
    <t>5KE</t>
  </si>
  <si>
    <t>Bedliner with Integral Storage Compartments</t>
  </si>
  <si>
    <t>Multimatic Jounce Control Dampers</t>
  </si>
  <si>
    <t>Cargo Area Lamps</t>
  </si>
  <si>
    <t>Underbody Shield</t>
  </si>
  <si>
    <t>Audio System by Kicker</t>
  </si>
  <si>
    <t>Black Lug Nut and Wheel Lock Kit</t>
  </si>
  <si>
    <t>ULK</t>
  </si>
  <si>
    <t>Power Distribution Box</t>
  </si>
  <si>
    <t>Bed Mat-Rubber</t>
  </si>
  <si>
    <t>VZJ</t>
  </si>
  <si>
    <t>Accessory Switch Kit</t>
  </si>
  <si>
    <t>W0H</t>
  </si>
  <si>
    <t>RW2</t>
  </si>
  <si>
    <t>RZU</t>
  </si>
  <si>
    <t>S3X</t>
  </si>
  <si>
    <t>VW1</t>
  </si>
  <si>
    <t>SQJ</t>
  </si>
  <si>
    <t>18" Gloss Black Wheels</t>
  </si>
  <si>
    <t>Black Nameplate Kit</t>
  </si>
  <si>
    <t>Illuminated Door Sill Plates</t>
  </si>
  <si>
    <t>Flat Splash Guards</t>
  </si>
  <si>
    <t>Cargo Tray with Divider</t>
  </si>
  <si>
    <t>Molded Assist Step</t>
  </si>
  <si>
    <t>Painted Assist Steps</t>
  </si>
  <si>
    <t>RG8</t>
  </si>
  <si>
    <t>Reflective window shade</t>
  </si>
  <si>
    <t>Black lug nuts</t>
  </si>
  <si>
    <t>5FF</t>
  </si>
  <si>
    <t>5FG</t>
  </si>
  <si>
    <t>GM ENERGY POWERSHIFT CHARGER</t>
  </si>
  <si>
    <t>GM POWERUP2 (J1772) CHARGER</t>
  </si>
  <si>
    <t>GM NACS DC ADAPTER</t>
  </si>
  <si>
    <t>BRIGHT WHEEL LOCKS</t>
  </si>
  <si>
    <t>ROOF RACK CROSS RAILS</t>
  </si>
  <si>
    <t>Floor Liner Package (CAV, RIA, RIB)</t>
  </si>
  <si>
    <r>
      <t xml:space="preserve">Off Road Lighting Package </t>
    </r>
    <r>
      <rPr>
        <sz val="11"/>
        <rFont val="Arial"/>
        <family val="2"/>
      </rPr>
      <t>(RZU)</t>
    </r>
  </si>
  <si>
    <r>
      <t xml:space="preserve">Recovery Package </t>
    </r>
    <r>
      <rPr>
        <sz val="11"/>
        <rFont val="Arial"/>
        <family val="2"/>
      </rPr>
      <t>(S1H, VW1)</t>
    </r>
  </si>
  <si>
    <r>
      <t xml:space="preserve">Skid Plate Package </t>
    </r>
    <r>
      <rPr>
        <sz val="11"/>
        <rFont val="Arial"/>
        <family val="2"/>
      </rPr>
      <t>(SIQ, SIR)</t>
    </r>
  </si>
  <si>
    <r>
      <t xml:space="preserve">Utility Wall Package </t>
    </r>
    <r>
      <rPr>
        <sz val="11"/>
        <rFont val="Arial"/>
        <family val="2"/>
      </rPr>
      <t>(RVY, SJS, S4K, 5WI)</t>
    </r>
  </si>
  <si>
    <r>
      <t xml:space="preserve">Interior Protection Package </t>
    </r>
    <r>
      <rPr>
        <sz val="11"/>
        <rFont val="Arial"/>
        <family val="2"/>
      </rPr>
      <t>(VAV, RIB)</t>
    </r>
  </si>
  <si>
    <t xml:space="preserve">Remember to Fill in your Warranty Labor Rate and Dealer Service Gross % </t>
  </si>
  <si>
    <t>BS11.20.25</t>
  </si>
  <si>
    <t>RN2</t>
  </si>
  <si>
    <t>Illuminated Front GMC Emblem</t>
  </si>
  <si>
    <t>22" Gloss Black Aluminum Wheels</t>
  </si>
  <si>
    <t>Black GMC Emblems</t>
  </si>
  <si>
    <t>All-Weather Rear Cargo Mat</t>
  </si>
  <si>
    <t>Welcome to the 2026 GMC ROI Guide!</t>
  </si>
  <si>
    <t>RFE</t>
  </si>
  <si>
    <t>Black Badges</t>
  </si>
  <si>
    <t>Re-Configurable Bed Rails</t>
  </si>
  <si>
    <t>SAM</t>
  </si>
  <si>
    <t>AEV Spec Hot-Stamped Boron Steel Underbody Shield</t>
  </si>
  <si>
    <t>Black Emblems</t>
  </si>
  <si>
    <t>SMU</t>
  </si>
  <si>
    <t>17" Beadlock Capable Aluminum Wheels</t>
  </si>
  <si>
    <t>20" Black Aluminum Wheels</t>
  </si>
  <si>
    <t>AT4X Lift Kit</t>
  </si>
  <si>
    <t>22" Low Gloss Black with machined outer spokes wheels</t>
  </si>
  <si>
    <t>U-Nut</t>
  </si>
  <si>
    <t>All Weather Front and Rear Floor Mats</t>
  </si>
  <si>
    <t>Hard-Folding Tonneau Cover</t>
  </si>
  <si>
    <t>GMC Black Chrome Exhaust Tip</t>
  </si>
  <si>
    <t>WFP</t>
  </si>
  <si>
    <t>Z6X</t>
  </si>
  <si>
    <t>5KM</t>
  </si>
  <si>
    <t>POWER RETRACTABLE TRUCK BED COVER</t>
  </si>
  <si>
    <t>ALL-WEATHER ETRUNK MAT</t>
  </si>
  <si>
    <t>RZT</t>
  </si>
  <si>
    <t>SPARE, 18" GRAZEN METALLIC BEADLOCK WHEEL W/ TECH BRONZE</t>
  </si>
  <si>
    <t>S0F</t>
  </si>
  <si>
    <t>CARBON FIBER HOOD INSERT</t>
  </si>
  <si>
    <t>LOCAKBLE STORAGE CONTAINER</t>
  </si>
  <si>
    <t>MULTIPRO TAILGATE AUDIO SYSTEM BY KICKER</t>
  </si>
  <si>
    <t>SBD</t>
  </si>
  <si>
    <t>SKY CONVERTIBLE TOP</t>
  </si>
  <si>
    <t>SC8</t>
  </si>
  <si>
    <t>SKY PANEL STORAGE SET FOR ETRUNK</t>
  </si>
  <si>
    <t>SEL</t>
  </si>
  <si>
    <t>PASSENGER-SIDE BED-MOUNTED VERTICAL SPARE TIRE CARRIER</t>
  </si>
  <si>
    <t>SMA</t>
  </si>
  <si>
    <t>18" TECH BRONZE WHEELS W/ MACHINED FACE</t>
  </si>
  <si>
    <t>22" GRAZEN METALLIC WHEELS</t>
  </si>
  <si>
    <t>WHEEL LUG KIT, BLACK</t>
  </si>
  <si>
    <t>WHEEL LOCK KIT IN BLACK</t>
  </si>
  <si>
    <t>AUXILIARY TRAILER CAMERA</t>
  </si>
  <si>
    <t>UNDERSEAT ORGANIZER AND I-BAR STORAGE</t>
  </si>
  <si>
    <t>BED-MOUNTED CROSS RAILS</t>
  </si>
  <si>
    <t>HARD-FOLDING TRUCK BED COVER, BY REV</t>
  </si>
  <si>
    <t>SOFT ROLLING TRUCK BED COVER</t>
  </si>
  <si>
    <t>FRONT AND REAR SPLASH GUARDS</t>
  </si>
  <si>
    <t>PREMIUM CARPETED FLOOR MATS</t>
  </si>
  <si>
    <t>GM NACS LEVEL 2 ADAPTER</t>
  </si>
  <si>
    <t>Console Vault, Lockable</t>
  </si>
  <si>
    <t>GMC Illuminated Puddle Lamp Emblem</t>
  </si>
  <si>
    <t>Sport Step Black</t>
  </si>
  <si>
    <t>MultiPro Tailgate Audio System</t>
  </si>
  <si>
    <t>Sport bar Bed Mounted</t>
  </si>
  <si>
    <t>22" 6-spoke Low Gloss Black Wheels with machined accents</t>
  </si>
  <si>
    <t>SF6</t>
  </si>
  <si>
    <t>Body Color Wheel Arch Moldings</t>
  </si>
  <si>
    <t>Wheel Locks, Set of 4</t>
  </si>
  <si>
    <t>Brigth Split-Spoke Wheels</t>
  </si>
  <si>
    <t>Front Bed Utility Wall Package</t>
  </si>
  <si>
    <t>22 Low Gloss Black with machined outer spokes wheels</t>
  </si>
  <si>
    <t>22" High Gloss Black Multi-Spoke Wheels</t>
  </si>
  <si>
    <t>SSI</t>
  </si>
  <si>
    <t>22" Bright Chrome Split-Spoke Wheels</t>
  </si>
  <si>
    <t>22" Bright Chrome Multi-Spoke Wheels</t>
  </si>
  <si>
    <t>Auxiliary Trailer Camera (Customer Responsible for Installation)</t>
  </si>
  <si>
    <t>Rear Underseat Storage</t>
  </si>
  <si>
    <t>Tri-fold Hard Tonneau Cover</t>
  </si>
  <si>
    <t>VQM</t>
  </si>
  <si>
    <t>Chrome Tubular Assist Steps</t>
  </si>
  <si>
    <t>6" Black Assist Steps</t>
  </si>
  <si>
    <t>6" Chrome Assist Steps</t>
  </si>
  <si>
    <t>AT4 High Clearance Step</t>
  </si>
  <si>
    <t>Bedliner Drop-in</t>
  </si>
  <si>
    <t>Performance Exhaust Kit</t>
  </si>
  <si>
    <t>Performance Brake Upgrade System</t>
  </si>
  <si>
    <t>Tri-Fold Soft Tonneau Cover</t>
  </si>
  <si>
    <t>Cargo Tie-Downs (4)</t>
  </si>
  <si>
    <t>GMC MultiPro Tailgate Step Lights</t>
  </si>
  <si>
    <t>18" Black Face Bead lock Wheels with Oxide Gold Decorative Ring</t>
  </si>
  <si>
    <t>Rocker Protection</t>
  </si>
  <si>
    <t>PDL</t>
  </si>
  <si>
    <t>MultiPro Audio System by Kicker</t>
  </si>
  <si>
    <t>All-weather Floor Liner</t>
  </si>
  <si>
    <t>LPO, Illuminated front GMC Emblem</t>
  </si>
  <si>
    <t>Off-Road Assist steps</t>
  </si>
  <si>
    <t>4" Black Assist Steps</t>
  </si>
  <si>
    <t>Cargo Tie-Downs</t>
  </si>
  <si>
    <t>Black Assist Steps 6"</t>
  </si>
  <si>
    <t>Black Assist Steps 4"</t>
  </si>
  <si>
    <t>Denali Illuminated door sills</t>
  </si>
  <si>
    <t>S0P</t>
  </si>
  <si>
    <t>Console Insert Organizer Tray</t>
  </si>
  <si>
    <t>Lockable Console Vault</t>
  </si>
  <si>
    <t>22" High Gloss Black Aluminum</t>
  </si>
  <si>
    <t>Multipro Audio System by Kicker</t>
  </si>
  <si>
    <t>22" Bright Finish Aluminum Wheels</t>
  </si>
  <si>
    <t>20" High Gloss Black Painted Wheels</t>
  </si>
  <si>
    <t>PowerShift Charger (Dealer Provided)</t>
  </si>
  <si>
    <t>PowerUp2 (J1772) Charger (Dealer Provided)</t>
  </si>
  <si>
    <t>PCY</t>
  </si>
  <si>
    <t>NACS DC To CCS Adapter (Dealer Provided)</t>
  </si>
  <si>
    <t>22" Gloss Black Wheels with Machine Face</t>
  </si>
  <si>
    <t>Molding Kit</t>
  </si>
  <si>
    <t>RGE</t>
  </si>
  <si>
    <t>Cargo Area Organizer</t>
  </si>
  <si>
    <t>All-Weather Cargo Mat</t>
  </si>
  <si>
    <t>Front &amp; Rear Splash Guards</t>
  </si>
  <si>
    <t>Retractable Cargo Shade</t>
  </si>
  <si>
    <t>Horizontal Cargo Net</t>
  </si>
  <si>
    <t>ALL-WEATHER CARGO MAT</t>
  </si>
  <si>
    <t>LOCKABLE STORAGE CONTAINER</t>
  </si>
  <si>
    <t>SAU</t>
  </si>
  <si>
    <t>SPARE TIRE COVER</t>
  </si>
  <si>
    <t>SKY PANEL STORAGE TRAYS</t>
  </si>
  <si>
    <t>FRONT &amp; REAR SPLASH GUARDS</t>
  </si>
  <si>
    <t>CARGO SECURITY SHADE</t>
  </si>
  <si>
    <t>CARGO NET</t>
  </si>
  <si>
    <t>Illuminated Liftgate Sill Plate</t>
  </si>
  <si>
    <t>Premium Floor Liners Package</t>
  </si>
  <si>
    <t>Illuminated front Black GMC emblem</t>
  </si>
  <si>
    <t>RGC</t>
  </si>
  <si>
    <t>RGF</t>
  </si>
  <si>
    <t>RGK</t>
  </si>
  <si>
    <t>All-weather floor liners</t>
  </si>
  <si>
    <t>Illuminated front Red GMC emblem</t>
  </si>
  <si>
    <t>Illuminated Front and Rear Door Dill Plates</t>
  </si>
  <si>
    <t>Black GMC emblems</t>
  </si>
  <si>
    <t>22" Painted Wheels</t>
  </si>
  <si>
    <t>22" Black Wheels w/Selective Machining</t>
  </si>
  <si>
    <t>22" Multi-Spoke Gloss Black Wheels</t>
  </si>
  <si>
    <t>22" Multi-Split Spoke Chrome Wheel</t>
  </si>
  <si>
    <t>Molded splash guards</t>
  </si>
  <si>
    <t>Rear bumper protector</t>
  </si>
  <si>
    <t>Exhaust Upgrade, Single Exhaust</t>
  </si>
  <si>
    <r>
      <t xml:space="preserve">Elevation Black Package </t>
    </r>
    <r>
      <rPr>
        <sz val="11"/>
        <rFont val="Arial"/>
        <family val="2"/>
      </rPr>
      <t>(RVQ, RIA, SFZ, RIK)</t>
    </r>
  </si>
  <si>
    <r>
      <t xml:space="preserve">GMC Protection Package </t>
    </r>
    <r>
      <rPr>
        <sz val="11"/>
        <rFont val="Arial"/>
        <family val="2"/>
      </rPr>
      <t>(RIA, VQK)</t>
    </r>
  </si>
  <si>
    <r>
      <t xml:space="preserve">Cargo Convenience Package </t>
    </r>
    <r>
      <rPr>
        <sz val="11"/>
        <rFont val="Arial"/>
        <family val="2"/>
      </rPr>
      <t>(S1O, VBJ)</t>
    </r>
  </si>
  <si>
    <t>2026 Sierra HD</t>
  </si>
  <si>
    <t>2026 Sierra 1500</t>
  </si>
  <si>
    <r>
      <t xml:space="preserve">Assist Step and Floor Liner Package </t>
    </r>
    <r>
      <rPr>
        <sz val="11"/>
        <color theme="1"/>
        <rFont val="Arial"/>
        <family val="2"/>
      </rPr>
      <t>(RIA, VXH)</t>
    </r>
  </si>
  <si>
    <r>
      <t xml:space="preserve">Cargo Convenience Package </t>
    </r>
    <r>
      <rPr>
        <sz val="11"/>
        <color theme="1"/>
        <rFont val="Arial"/>
        <family val="2"/>
      </rPr>
      <t>(S1O, VBJ)</t>
    </r>
  </si>
  <si>
    <r>
      <t xml:space="preserve">GMC Protection Package </t>
    </r>
    <r>
      <rPr>
        <sz val="11"/>
        <color theme="1"/>
        <rFont val="Arial"/>
        <family val="2"/>
      </rPr>
      <t>(RIA, VQK)</t>
    </r>
  </si>
  <si>
    <t>2026 Sierra EV</t>
  </si>
  <si>
    <r>
      <t xml:space="preserve">Interior Protection Package </t>
    </r>
    <r>
      <rPr>
        <sz val="11"/>
        <rFont val="Arial"/>
        <family val="2"/>
      </rPr>
      <t>(RIA, RYC)</t>
    </r>
  </si>
  <si>
    <r>
      <t xml:space="preserve">Cargo Package </t>
    </r>
    <r>
      <rPr>
        <sz val="11"/>
        <rFont val="Arial"/>
        <family val="2"/>
      </rPr>
      <t>(WH9, RSI)</t>
    </r>
  </si>
  <si>
    <r>
      <t xml:space="preserve">Bed Wall Organizer Package </t>
    </r>
    <r>
      <rPr>
        <sz val="11"/>
        <rFont val="Arial"/>
        <family val="2"/>
      </rPr>
      <t>(RVY, 5WI, S4K)</t>
    </r>
  </si>
  <si>
    <r>
      <t xml:space="preserve">Floor Liner and Hard Truck Bed Cover Package </t>
    </r>
    <r>
      <rPr>
        <sz val="11"/>
        <rFont val="Arial"/>
        <family val="2"/>
      </rPr>
      <t>(RIA, VOZ)</t>
    </r>
  </si>
  <si>
    <r>
      <t xml:space="preserve">Elevation Dark Package </t>
    </r>
    <r>
      <rPr>
        <sz val="11"/>
        <rFont val="Arial"/>
        <family val="2"/>
      </rPr>
      <t>(RIK, SES)</t>
    </r>
  </si>
  <si>
    <t>*Estimated Labor, No Part info yet</t>
  </si>
  <si>
    <r>
      <t xml:space="preserve">Hit The Road Package </t>
    </r>
    <r>
      <rPr>
        <sz val="11"/>
        <rFont val="Arial"/>
        <family val="2"/>
      </rPr>
      <t>(VLL, VQK)</t>
    </r>
  </si>
  <si>
    <r>
      <t xml:space="preserve">Interior Protection Package </t>
    </r>
    <r>
      <rPr>
        <sz val="11"/>
        <rFont val="Arial"/>
        <family val="2"/>
      </rPr>
      <t>(VLI, VAV, RIS)</t>
    </r>
  </si>
  <si>
    <r>
      <t xml:space="preserve">Floor Liner Package </t>
    </r>
    <r>
      <rPr>
        <sz val="11"/>
        <rFont val="Arial"/>
        <family val="2"/>
      </rPr>
      <t>(RIA, RIS, VLI)</t>
    </r>
  </si>
  <si>
    <r>
      <t xml:space="preserve">Black Badging Package </t>
    </r>
    <r>
      <rPr>
        <sz val="11"/>
        <rFont val="Arial"/>
        <family val="2"/>
      </rPr>
      <t>(RIK, SFZ)</t>
    </r>
  </si>
  <si>
    <t>2026 Terrain</t>
  </si>
  <si>
    <t>2026 Hummer EV Pickup</t>
  </si>
  <si>
    <t>5ZS</t>
  </si>
  <si>
    <t>QB1</t>
  </si>
  <si>
    <t>QB3</t>
  </si>
  <si>
    <t>SAS</t>
  </si>
  <si>
    <t>S3O</t>
  </si>
  <si>
    <t>SD1</t>
  </si>
  <si>
    <t>BJ</t>
  </si>
  <si>
    <t>SGX</t>
  </si>
  <si>
    <t>RZK</t>
  </si>
  <si>
    <t>OFF-ROAD READINESS PACKAGE (5Y2, S1H, SGX, SC9, SEP)</t>
  </si>
  <si>
    <t>ILLUMINATION PACKAGE (RZU, S3O, VBP, SIM)</t>
  </si>
  <si>
    <t>LIFESTYLE ADVENTURE PACKAGE (SD1, SL7, VQQ)</t>
  </si>
  <si>
    <t>STORAGE PACKAGE (S1O, VBJ, SC8, QB1)</t>
  </si>
  <si>
    <t>SPORT PACKAGE (VQK, SBZ, RIK, ULK)</t>
  </si>
  <si>
    <t>BEDSLIDE CARRIER AND POWER TRUCK BED COVER PACKAGE (5ZS, SAS, SGX, SC9,QB3, 5Y2, 5KM)</t>
  </si>
  <si>
    <t>5Y2</t>
  </si>
  <si>
    <t>SC9</t>
  </si>
  <si>
    <t>SEP</t>
  </si>
  <si>
    <t>DARK ESSENTIALS PACKAGE (RIK, SDA)</t>
  </si>
  <si>
    <t>CARBON FIBER EDITION PACKAGE (SDA, S6L)</t>
  </si>
  <si>
    <t>EXTREME OFF-ROAD PACKAGE (SDA, S6L)</t>
  </si>
  <si>
    <t>2026 HUMMER EV SUV</t>
  </si>
  <si>
    <t>SGY</t>
  </si>
  <si>
    <r>
      <t xml:space="preserve">ILLUMINATION PACKAGE </t>
    </r>
    <r>
      <rPr>
        <sz val="11"/>
        <rFont val="Arial"/>
        <family val="2"/>
      </rPr>
      <t>(RZU, S3O, VBP, SIM)</t>
    </r>
  </si>
  <si>
    <r>
      <t xml:space="preserve">DARK ESSENTIALS PACKAGE </t>
    </r>
    <r>
      <rPr>
        <sz val="11"/>
        <rFont val="Arial"/>
        <family val="2"/>
      </rPr>
      <t>(RIK, SDA)</t>
    </r>
  </si>
  <si>
    <r>
      <t xml:space="preserve">EXTREME OFF-ROAD PACKAGE </t>
    </r>
    <r>
      <rPr>
        <sz val="11"/>
        <rFont val="Arial"/>
        <family val="2"/>
      </rPr>
      <t>(SDA, S6L)</t>
    </r>
  </si>
  <si>
    <r>
      <t xml:space="preserve">BRONZE BEADLOCK PACKAGE </t>
    </r>
    <r>
      <rPr>
        <sz val="11"/>
        <rFont val="Arial"/>
        <family val="2"/>
      </rPr>
      <t>(W0H, RIK, RZK, RZT)</t>
    </r>
  </si>
  <si>
    <r>
      <t xml:space="preserve">SPORT PACKAGE </t>
    </r>
    <r>
      <rPr>
        <sz val="11"/>
        <rFont val="Arial"/>
        <family val="2"/>
      </rPr>
      <t>(SBZ, RIK, VQK, ULK)</t>
    </r>
  </si>
  <si>
    <r>
      <t xml:space="preserve">CARGO UTILITY PACKAGE </t>
    </r>
    <r>
      <rPr>
        <sz val="11"/>
        <rFont val="Arial"/>
        <family val="2"/>
      </rPr>
      <t>(CAV, VRS, W2D)</t>
    </r>
  </si>
  <si>
    <t>2026 CANYON</t>
  </si>
  <si>
    <r>
      <t xml:space="preserve">Sports Bar Package </t>
    </r>
    <r>
      <rPr>
        <sz val="11"/>
        <rFont val="Arial"/>
        <family val="2"/>
      </rPr>
      <t>(SBY, S3X)</t>
    </r>
  </si>
  <si>
    <r>
      <t xml:space="preserve">Denali Black Edition </t>
    </r>
    <r>
      <rPr>
        <sz val="11"/>
        <rFont val="Arial"/>
        <family val="2"/>
      </rPr>
      <t>(RIA, RIK, SNX, VQO, SFZ, VTA)</t>
    </r>
  </si>
  <si>
    <r>
      <t xml:space="preserve">Off Road Lift Package </t>
    </r>
    <r>
      <rPr>
        <sz val="11"/>
        <rFont val="Arial"/>
        <family val="2"/>
      </rPr>
      <t>(SQI, VZT)</t>
    </r>
  </si>
  <si>
    <r>
      <t xml:space="preserve">Black Badging Package </t>
    </r>
    <r>
      <rPr>
        <sz val="11"/>
        <rFont val="Arial"/>
        <family val="2"/>
      </rPr>
      <t>(SFZ, RIK)</t>
    </r>
  </si>
  <si>
    <t>All-Weather Package (VAV, RIB, VLI)</t>
  </si>
  <si>
    <t>Cargo Package (VRS, W2D, SHX)</t>
  </si>
  <si>
    <t>Rugged Package (VLL, VQK)</t>
  </si>
  <si>
    <t>Adventure Package (EU2, VLL, VQO, SB1)</t>
  </si>
  <si>
    <t>Illumination Package (S0M, RN2, S3I SFZ)</t>
  </si>
  <si>
    <t>spy</t>
  </si>
  <si>
    <r>
      <t xml:space="preserve">Elevation Black Package </t>
    </r>
    <r>
      <rPr>
        <sz val="11"/>
        <rFont val="Arial"/>
        <family val="2"/>
      </rPr>
      <t>(R88, RZ9, RIK)</t>
    </r>
  </si>
  <si>
    <r>
      <t xml:space="preserve">Denali Sport Nightfall Edition </t>
    </r>
    <r>
      <rPr>
        <sz val="11"/>
        <rFont val="Arial"/>
        <family val="2"/>
      </rPr>
      <t>(5FG, RIK, S4X)</t>
    </r>
  </si>
  <si>
    <r>
      <t xml:space="preserve">Performance Upgrade Package </t>
    </r>
    <r>
      <rPr>
        <sz val="11"/>
        <rFont val="Arial"/>
        <family val="2"/>
      </rPr>
      <t>(WBC)</t>
    </r>
  </si>
  <si>
    <r>
      <t xml:space="preserve">Get Active Package </t>
    </r>
    <r>
      <rPr>
        <sz val="11"/>
        <rFont val="Arial"/>
        <family val="2"/>
      </rPr>
      <t>(VRS, W2D)</t>
    </r>
  </si>
  <si>
    <r>
      <t xml:space="preserve">Yukon Bright Edition </t>
    </r>
    <r>
      <rPr>
        <sz val="11"/>
        <rFont val="Arial"/>
        <family val="2"/>
      </rPr>
      <t>(VKU, SFU, VQZ)</t>
    </r>
  </si>
  <si>
    <r>
      <t xml:space="preserve">Floor Liner Package </t>
    </r>
    <r>
      <rPr>
        <sz val="11"/>
        <rFont val="Arial"/>
        <family val="2"/>
      </rPr>
      <t>(RIA, RIB, CAV)</t>
    </r>
  </si>
  <si>
    <r>
      <t xml:space="preserve">Denali Appearance Package </t>
    </r>
    <r>
      <rPr>
        <sz val="11"/>
        <rFont val="Arial"/>
        <family val="2"/>
      </rPr>
      <t>(S4X, R88, RIK, SJB)</t>
    </r>
  </si>
  <si>
    <r>
      <t xml:space="preserve">Elevation Black Package </t>
    </r>
    <r>
      <rPr>
        <sz val="11"/>
        <rFont val="Arial"/>
        <family val="2"/>
      </rPr>
      <t>(SGM, VTA, SFZ, RIK, S4X)</t>
    </r>
  </si>
  <si>
    <r>
      <t xml:space="preserve">AT4 Black Appearance Package </t>
    </r>
    <r>
      <rPr>
        <sz val="11"/>
        <rFont val="Arial"/>
        <family val="2"/>
      </rPr>
      <t>(R88, RIK)</t>
    </r>
  </si>
  <si>
    <r>
      <t xml:space="preserve">Illumination Package </t>
    </r>
    <r>
      <rPr>
        <sz val="11"/>
        <rFont val="Arial"/>
        <family val="2"/>
      </rPr>
      <t>(S3I, S0M, 5RU)</t>
    </r>
  </si>
  <si>
    <t>Red Brembo Brake Upgrade</t>
  </si>
  <si>
    <t xml:space="preserve"> 2026 Acadia</t>
  </si>
  <si>
    <t>2026 Yukon / Yukon XL</t>
  </si>
  <si>
    <t>click the home icon on any page to return to this screen</t>
  </si>
  <si>
    <t xml:space="preserve">This is your navigation screen for the GMC ROI Guide!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</si>
</sst>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0.0"/>
    <numFmt numFmtId="166" formatCode="&quot;$&quot;#,##0.00"/>
    <numFmt numFmtId="167" formatCode="_(&quot;$&quot;* #,##0_);_(&quot;$&quot;* \(#,##0\);_(&quot;$&quot;* &quot;-&quot;??_);_(@_)"/>
    <numFmt numFmtId="168" formatCode="\$0"/>
    <numFmt numFmtId="169" formatCode="\$#,##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2">
    <xf numFmtId="0" fontId="0" fillId="0" borderId="0" xfId="0"/>
    <xf numFmtId="44" fontId="0" fillId="0" borderId="0" xfId="1" applyFont="1"/>
    <xf numFmtId="9" fontId="2" fillId="0" borderId="0" xfId="2" applyFont="1"/>
    <xf numFmtId="0" fontId="2" fillId="0" borderId="0" xfId="0" applyFont="1"/>
    <xf numFmtId="44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0" xfId="2" applyFont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166" fontId="0" fillId="0" borderId="0" xfId="1" applyNumberFormat="1" applyFont="1"/>
    <xf numFmtId="166" fontId="0" fillId="0" borderId="0" xfId="0" applyNumberFormat="1"/>
    <xf numFmtId="166" fontId="2" fillId="0" borderId="0" xfId="0" applyNumberFormat="1" applyFont="1"/>
    <xf numFmtId="167" fontId="2" fillId="0" borderId="0" xfId="1" applyNumberFormat="1" applyFont="1"/>
    <xf numFmtId="167" fontId="0" fillId="0" borderId="0" xfId="1" applyNumberFormat="1" applyFont="1"/>
    <xf numFmtId="0" fontId="0" fillId="0" borderId="0" xfId="0" applyAlignment="1">
      <alignment vertical="center"/>
    </xf>
    <xf numFmtId="0" fontId="0" fillId="6" borderId="0" xfId="0" applyFill="1" applyAlignment="1">
      <alignment horizontal="center" vertical="center"/>
    </xf>
    <xf numFmtId="164" fontId="0" fillId="0" borderId="0" xfId="0" applyNumberFormat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2" fillId="3" borderId="34" xfId="0" applyNumberFormat="1" applyFont="1" applyFill="1" applyBorder="1" applyAlignment="1">
      <alignment horizontal="center" vertical="center"/>
    </xf>
    <xf numFmtId="9" fontId="2" fillId="7" borderId="13" xfId="2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3" borderId="36" xfId="0" applyFont="1" applyFill="1" applyBorder="1" applyAlignment="1">
      <alignment horizontal="center" vertical="center"/>
    </xf>
    <xf numFmtId="166" fontId="2" fillId="3" borderId="27" xfId="1" applyNumberFormat="1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164" fontId="2" fillId="4" borderId="29" xfId="0" applyNumberFormat="1" applyFont="1" applyFill="1" applyBorder="1" applyAlignment="1">
      <alignment horizontal="center" vertical="center"/>
    </xf>
    <xf numFmtId="164" fontId="2" fillId="4" borderId="30" xfId="0" applyNumberFormat="1" applyFont="1" applyFill="1" applyBorder="1" applyAlignment="1">
      <alignment horizontal="center" vertical="center"/>
    </xf>
    <xf numFmtId="164" fontId="2" fillId="4" borderId="31" xfId="0" applyNumberFormat="1" applyFont="1" applyFill="1" applyBorder="1" applyAlignment="1">
      <alignment horizontal="center" vertical="center"/>
    </xf>
    <xf numFmtId="167" fontId="2" fillId="7" borderId="13" xfId="0" applyNumberFormat="1" applyFont="1" applyFill="1" applyBorder="1" applyAlignment="1">
      <alignment horizontal="center" vertical="center" wrapText="1"/>
    </xf>
    <xf numFmtId="167" fontId="2" fillId="7" borderId="13" xfId="1" applyNumberFormat="1" applyFont="1" applyFill="1" applyBorder="1" applyAlignment="1">
      <alignment horizontal="center" vertical="center" wrapText="1"/>
    </xf>
    <xf numFmtId="167" fontId="2" fillId="4" borderId="38" xfId="0" applyNumberFormat="1" applyFont="1" applyFill="1" applyBorder="1" applyAlignment="1">
      <alignment horizontal="center" vertical="center" wrapText="1"/>
    </xf>
    <xf numFmtId="164" fontId="2" fillId="4" borderId="16" xfId="0" applyNumberFormat="1" applyFont="1" applyFill="1" applyBorder="1" applyAlignment="1">
      <alignment horizontal="center" vertical="center"/>
    </xf>
    <xf numFmtId="164" fontId="2" fillId="4" borderId="14" xfId="0" applyNumberFormat="1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 wrapText="1"/>
    </xf>
    <xf numFmtId="44" fontId="2" fillId="7" borderId="13" xfId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>
      <alignment horizontal="center" vertical="center"/>
    </xf>
    <xf numFmtId="164" fontId="2" fillId="4" borderId="16" xfId="0" applyNumberFormat="1" applyFont="1" applyFill="1" applyBorder="1" applyAlignment="1">
      <alignment horizontal="center"/>
    </xf>
    <xf numFmtId="164" fontId="2" fillId="4" borderId="29" xfId="0" applyNumberFormat="1" applyFont="1" applyFill="1" applyBorder="1" applyAlignment="1">
      <alignment horizontal="center"/>
    </xf>
    <xf numFmtId="0" fontId="4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8" fillId="0" borderId="0" xfId="0" applyFont="1" applyAlignment="1">
      <alignment vertical="top" wrapText="1"/>
    </xf>
    <xf numFmtId="165" fontId="2" fillId="3" borderId="27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6" fillId="0" borderId="32" xfId="0" applyFont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168" fontId="9" fillId="5" borderId="1" xfId="0" applyNumberFormat="1" applyFont="1" applyFill="1" applyBorder="1" applyAlignment="1">
      <alignment horizontal="center" vertical="center" shrinkToFit="1"/>
    </xf>
    <xf numFmtId="169" fontId="0" fillId="0" borderId="0" xfId="0" applyNumberFormat="1"/>
    <xf numFmtId="0" fontId="2" fillId="6" borderId="8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2" fillId="0" borderId="0" xfId="0" applyFont="1" applyAlignment="1">
      <alignment horizontal="left" vertical="center"/>
    </xf>
    <xf numFmtId="9" fontId="2" fillId="7" borderId="19" xfId="2" applyFont="1" applyFill="1" applyBorder="1" applyAlignment="1">
      <alignment horizontal="center" vertical="center"/>
    </xf>
    <xf numFmtId="164" fontId="2" fillId="7" borderId="19" xfId="1" applyNumberFormat="1" applyFont="1" applyFill="1" applyBorder="1" applyAlignment="1">
      <alignment horizontal="center" vertical="center"/>
    </xf>
    <xf numFmtId="164" fontId="2" fillId="7" borderId="19" xfId="0" applyNumberFormat="1" applyFont="1" applyFill="1" applyBorder="1" applyAlignment="1">
      <alignment horizontal="center" vertical="center"/>
    </xf>
    <xf numFmtId="168" fontId="9" fillId="2" borderId="1" xfId="0" applyNumberFormat="1" applyFont="1" applyFill="1" applyBorder="1" applyAlignment="1">
      <alignment horizontal="center" vertical="center" shrinkToFit="1"/>
    </xf>
    <xf numFmtId="44" fontId="2" fillId="3" borderId="27" xfId="1" applyFont="1" applyFill="1" applyBorder="1" applyAlignment="1">
      <alignment horizontal="center" vertical="center" wrapText="1"/>
    </xf>
    <xf numFmtId="44" fontId="2" fillId="3" borderId="43" xfId="1" applyFont="1" applyFill="1" applyBorder="1" applyAlignment="1">
      <alignment horizontal="center" vertical="center" wrapText="1"/>
    </xf>
    <xf numFmtId="164" fontId="13" fillId="7" borderId="19" xfId="0" applyNumberFormat="1" applyFont="1" applyFill="1" applyBorder="1" applyAlignment="1">
      <alignment horizontal="center" vertical="center"/>
    </xf>
    <xf numFmtId="164" fontId="13" fillId="7" borderId="19" xfId="1" applyNumberFormat="1" applyFont="1" applyFill="1" applyBorder="1" applyAlignment="1">
      <alignment horizontal="center" vertical="center"/>
    </xf>
    <xf numFmtId="164" fontId="13" fillId="7" borderId="13" xfId="1" applyNumberFormat="1" applyFont="1" applyFill="1" applyBorder="1" applyAlignment="1">
      <alignment horizontal="center" vertical="center"/>
    </xf>
    <xf numFmtId="164" fontId="13" fillId="7" borderId="25" xfId="1" applyNumberFormat="1" applyFont="1" applyFill="1" applyBorder="1" applyAlignment="1">
      <alignment horizontal="center" vertical="center"/>
    </xf>
    <xf numFmtId="9" fontId="13" fillId="7" borderId="19" xfId="2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left" vertical="center"/>
    </xf>
    <xf numFmtId="0" fontId="4" fillId="6" borderId="8" xfId="0" applyFont="1" applyFill="1" applyBorder="1" applyAlignment="1">
      <alignment vertical="center"/>
    </xf>
    <xf numFmtId="165" fontId="2" fillId="9" borderId="34" xfId="0" applyNumberFormat="1" applyFont="1" applyFill="1" applyBorder="1" applyAlignment="1">
      <alignment horizontal="center" vertical="center"/>
    </xf>
    <xf numFmtId="167" fontId="2" fillId="8" borderId="1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32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vertical="center" wrapText="1"/>
    </xf>
    <xf numFmtId="165" fontId="2" fillId="9" borderId="34" xfId="0" applyNumberFormat="1" applyFont="1" applyFill="1" applyBorder="1" applyAlignment="1">
      <alignment horizontal="center" vertical="center" wrapText="1"/>
    </xf>
    <xf numFmtId="9" fontId="2" fillId="8" borderId="35" xfId="2" applyFont="1" applyFill="1" applyBorder="1" applyAlignment="1">
      <alignment horizontal="center" vertical="center" wrapText="1"/>
    </xf>
    <xf numFmtId="164" fontId="2" fillId="8" borderId="25" xfId="1" applyNumberFormat="1" applyFont="1" applyFill="1" applyBorder="1" applyAlignment="1">
      <alignment horizontal="center" vertical="center" wrapText="1"/>
    </xf>
    <xf numFmtId="165" fontId="0" fillId="9" borderId="24" xfId="0" applyNumberFormat="1" applyFill="1" applyBorder="1" applyAlignment="1">
      <alignment horizontal="center" vertical="center" wrapText="1"/>
    </xf>
    <xf numFmtId="164" fontId="2" fillId="4" borderId="16" xfId="1" applyNumberFormat="1" applyFont="1" applyFill="1" applyBorder="1" applyAlignment="1">
      <alignment horizontal="center" vertical="center" wrapText="1"/>
    </xf>
    <xf numFmtId="9" fontId="2" fillId="8" borderId="4" xfId="2" applyFont="1" applyFill="1" applyBorder="1" applyAlignment="1">
      <alignment horizontal="center" vertical="center" wrapText="1"/>
    </xf>
    <xf numFmtId="8" fontId="0" fillId="0" borderId="0" xfId="0" applyNumberFormat="1" applyAlignment="1">
      <alignment wrapText="1"/>
    </xf>
    <xf numFmtId="164" fontId="2" fillId="8" borderId="37" xfId="1" applyNumberFormat="1" applyFont="1" applyFill="1" applyBorder="1" applyAlignment="1">
      <alignment horizontal="center" vertical="center" wrapText="1"/>
    </xf>
    <xf numFmtId="165" fontId="0" fillId="9" borderId="41" xfId="0" applyNumberFormat="1" applyFill="1" applyBorder="1" applyAlignment="1">
      <alignment horizontal="center" vertical="center" wrapText="1"/>
    </xf>
    <xf numFmtId="164" fontId="2" fillId="4" borderId="15" xfId="1" applyNumberFormat="1" applyFont="1" applyFill="1" applyBorder="1" applyAlignment="1">
      <alignment horizontal="center" vertical="center" wrapText="1"/>
    </xf>
    <xf numFmtId="9" fontId="2" fillId="8" borderId="44" xfId="2" applyFont="1" applyFill="1" applyBorder="1" applyAlignment="1">
      <alignment horizontal="center" vertical="center" wrapText="1"/>
    </xf>
    <xf numFmtId="164" fontId="2" fillId="8" borderId="19" xfId="1" applyNumberFormat="1" applyFont="1" applyFill="1" applyBorder="1" applyAlignment="1">
      <alignment horizontal="center" vertical="center" wrapText="1"/>
    </xf>
    <xf numFmtId="165" fontId="0" fillId="9" borderId="18" xfId="0" applyNumberFormat="1" applyFill="1" applyBorder="1" applyAlignment="1">
      <alignment horizontal="center" vertical="center" wrapText="1"/>
    </xf>
    <xf numFmtId="164" fontId="2" fillId="4" borderId="29" xfId="1" applyNumberFormat="1" applyFont="1" applyFill="1" applyBorder="1" applyAlignment="1">
      <alignment horizontal="center" vertical="center" wrapText="1"/>
    </xf>
    <xf numFmtId="9" fontId="2" fillId="8" borderId="19" xfId="2" applyFont="1" applyFill="1" applyBorder="1" applyAlignment="1">
      <alignment horizontal="center" vertical="center" wrapText="1"/>
    </xf>
    <xf numFmtId="9" fontId="2" fillId="8" borderId="25" xfId="2" applyFont="1" applyFill="1" applyBorder="1" applyAlignment="1">
      <alignment horizontal="center" vertical="center" wrapText="1"/>
    </xf>
    <xf numFmtId="9" fontId="2" fillId="8" borderId="21" xfId="2" applyFont="1" applyFill="1" applyBorder="1" applyAlignment="1">
      <alignment horizontal="center" vertical="center" wrapText="1"/>
    </xf>
    <xf numFmtId="164" fontId="2" fillId="4" borderId="30" xfId="1" applyNumberFormat="1" applyFont="1" applyFill="1" applyBorder="1" applyAlignment="1">
      <alignment horizontal="center" vertical="center" wrapText="1"/>
    </xf>
    <xf numFmtId="164" fontId="2" fillId="8" borderId="45" xfId="1" applyNumberFormat="1" applyFont="1" applyFill="1" applyBorder="1" applyAlignment="1">
      <alignment horizontal="center" vertical="center" wrapText="1"/>
    </xf>
    <xf numFmtId="165" fontId="0" fillId="9" borderId="46" xfId="0" applyNumberFormat="1" applyFill="1" applyBorder="1" applyAlignment="1">
      <alignment horizontal="center" vertical="center" wrapText="1"/>
    </xf>
    <xf numFmtId="164" fontId="2" fillId="4" borderId="31" xfId="1" applyNumberFormat="1" applyFont="1" applyFill="1" applyBorder="1" applyAlignment="1">
      <alignment horizontal="center" vertical="center" wrapText="1"/>
    </xf>
    <xf numFmtId="9" fontId="2" fillId="8" borderId="23" xfId="2" applyFont="1" applyFill="1" applyBorder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4" fontId="2" fillId="0" borderId="0" xfId="1" applyFont="1" applyAlignment="1">
      <alignment horizontal="center" vertical="center" wrapText="1"/>
    </xf>
    <xf numFmtId="9" fontId="2" fillId="0" borderId="0" xfId="2" applyFont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165" fontId="5" fillId="9" borderId="34" xfId="0" applyNumberFormat="1" applyFont="1" applyFill="1" applyBorder="1" applyAlignment="1">
      <alignment horizontal="center" vertical="center"/>
    </xf>
    <xf numFmtId="0" fontId="0" fillId="6" borderId="0" xfId="0" applyFill="1"/>
    <xf numFmtId="0" fontId="4" fillId="6" borderId="0" xfId="0" applyFont="1" applyFill="1" applyAlignment="1">
      <alignment horizontal="left"/>
    </xf>
    <xf numFmtId="0" fontId="4" fillId="6" borderId="8" xfId="0" applyFont="1" applyFill="1" applyBorder="1" applyAlignment="1">
      <alignment horizontal="center"/>
    </xf>
    <xf numFmtId="0" fontId="7" fillId="9" borderId="30" xfId="0" applyFont="1" applyFill="1" applyBorder="1" applyAlignment="1" applyProtection="1">
      <alignment horizontal="center" vertical="center"/>
      <protection hidden="1"/>
    </xf>
    <xf numFmtId="166" fontId="2" fillId="3" borderId="5" xfId="1" applyNumberFormat="1" applyFont="1" applyFill="1" applyBorder="1" applyAlignment="1">
      <alignment horizontal="center" vertical="center"/>
    </xf>
    <xf numFmtId="169" fontId="9" fillId="2" borderId="1" xfId="0" applyNumberFormat="1" applyFont="1" applyFill="1" applyBorder="1" applyAlignment="1">
      <alignment horizontal="center" vertical="center" shrinkToFit="1"/>
    </xf>
    <xf numFmtId="44" fontId="0" fillId="6" borderId="0" xfId="1" applyFont="1" applyFill="1" applyAlignment="1">
      <alignment horizontal="center" vertical="center"/>
    </xf>
    <xf numFmtId="165" fontId="0" fillId="6" borderId="0" xfId="0" applyNumberFormat="1" applyFill="1"/>
    <xf numFmtId="0" fontId="2" fillId="6" borderId="0" xfId="0" applyFont="1" applyFill="1" applyAlignment="1">
      <alignment horizontal="center" vertical="center"/>
    </xf>
    <xf numFmtId="9" fontId="2" fillId="6" borderId="0" xfId="2" applyFont="1" applyFill="1" applyAlignment="1">
      <alignment horizontal="center" vertical="center"/>
    </xf>
    <xf numFmtId="167" fontId="2" fillId="4" borderId="48" xfId="0" applyNumberFormat="1" applyFont="1" applyFill="1" applyBorder="1" applyAlignment="1">
      <alignment horizontal="center" vertical="center" wrapText="1"/>
    </xf>
    <xf numFmtId="165" fontId="0" fillId="9" borderId="1" xfId="0" applyNumberFormat="1" applyFill="1" applyBorder="1" applyAlignment="1" applyProtection="1">
      <alignment horizontal="center"/>
      <protection hidden="1"/>
    </xf>
    <xf numFmtId="164" fontId="2" fillId="4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vertical="top"/>
    </xf>
    <xf numFmtId="165" fontId="0" fillId="9" borderId="18" xfId="0" applyNumberFormat="1" applyFill="1" applyBorder="1" applyAlignment="1" applyProtection="1">
      <alignment horizontal="center" vertical="center"/>
      <protection hidden="1"/>
    </xf>
    <xf numFmtId="9" fontId="2" fillId="7" borderId="21" xfId="2" applyFont="1" applyFill="1" applyBorder="1" applyAlignment="1">
      <alignment horizontal="center" vertical="center"/>
    </xf>
    <xf numFmtId="9" fontId="2" fillId="7" borderId="23" xfId="2" applyFont="1" applyFill="1" applyBorder="1" applyAlignment="1">
      <alignment horizontal="center" vertical="center"/>
    </xf>
    <xf numFmtId="9" fontId="5" fillId="7" borderId="21" xfId="2" applyFont="1" applyFill="1" applyBorder="1" applyAlignment="1">
      <alignment horizontal="center" vertical="center"/>
    </xf>
    <xf numFmtId="164" fontId="5" fillId="7" borderId="21" xfId="1" applyNumberFormat="1" applyFont="1" applyFill="1" applyBorder="1" applyAlignment="1">
      <alignment horizontal="center" vertical="center"/>
    </xf>
    <xf numFmtId="167" fontId="2" fillId="7" borderId="47" xfId="0" applyNumberFormat="1" applyFont="1" applyFill="1" applyBorder="1" applyAlignment="1">
      <alignment horizontal="center" vertical="center" wrapText="1"/>
    </xf>
    <xf numFmtId="165" fontId="2" fillId="9" borderId="27" xfId="0" applyNumberFormat="1" applyFont="1" applyFill="1" applyBorder="1" applyAlignment="1">
      <alignment horizontal="center" vertical="center"/>
    </xf>
    <xf numFmtId="167" fontId="2" fillId="7" borderId="47" xfId="1" applyNumberFormat="1" applyFont="1" applyFill="1" applyBorder="1" applyAlignment="1">
      <alignment horizontal="center" vertical="center" wrapText="1"/>
    </xf>
    <xf numFmtId="9" fontId="2" fillId="7" borderId="47" xfId="2" applyFont="1" applyFill="1" applyBorder="1" applyAlignment="1">
      <alignment horizontal="center" vertical="center"/>
    </xf>
    <xf numFmtId="164" fontId="2" fillId="7" borderId="1" xfId="1" applyNumberFormat="1" applyFont="1" applyFill="1" applyBorder="1" applyAlignment="1">
      <alignment horizontal="center" vertical="center"/>
    </xf>
    <xf numFmtId="165" fontId="0" fillId="9" borderId="1" xfId="0" applyNumberFormat="1" applyFill="1" applyBorder="1" applyAlignment="1" applyProtection="1">
      <alignment horizontal="center" vertical="center"/>
      <protection hidden="1"/>
    </xf>
    <xf numFmtId="164" fontId="2" fillId="4" borderId="1" xfId="1" applyNumberFormat="1" applyFont="1" applyFill="1" applyBorder="1" applyAlignment="1">
      <alignment horizontal="center" vertical="center"/>
    </xf>
    <xf numFmtId="9" fontId="2" fillId="7" borderId="1" xfId="2" applyFont="1" applyFill="1" applyBorder="1" applyAlignment="1">
      <alignment horizontal="center" vertical="center"/>
    </xf>
    <xf numFmtId="164" fontId="5" fillId="7" borderId="1" xfId="1" applyNumberFormat="1" applyFont="1" applyFill="1" applyBorder="1" applyAlignment="1">
      <alignment horizontal="center" vertical="center"/>
    </xf>
    <xf numFmtId="164" fontId="5" fillId="4" borderId="1" xfId="1" applyNumberFormat="1" applyFont="1" applyFill="1" applyBorder="1" applyAlignment="1">
      <alignment horizontal="center" vertical="center"/>
    </xf>
    <xf numFmtId="9" fontId="5" fillId="7" borderId="1" xfId="2" applyFont="1" applyFill="1" applyBorder="1" applyAlignment="1">
      <alignment horizontal="center" vertical="center"/>
    </xf>
    <xf numFmtId="164" fontId="2" fillId="7" borderId="40" xfId="0" applyNumberFormat="1" applyFont="1" applyFill="1" applyBorder="1" applyAlignment="1">
      <alignment horizontal="center" vertical="center"/>
    </xf>
    <xf numFmtId="168" fontId="11" fillId="5" borderId="1" xfId="0" applyNumberFormat="1" applyFont="1" applyFill="1" applyBorder="1" applyAlignment="1">
      <alignment horizontal="center" vertical="center" shrinkToFit="1"/>
    </xf>
    <xf numFmtId="168" fontId="9" fillId="2" borderId="50" xfId="0" applyNumberFormat="1" applyFont="1" applyFill="1" applyBorder="1" applyAlignment="1">
      <alignment horizontal="center" vertical="center" shrinkToFit="1"/>
    </xf>
    <xf numFmtId="168" fontId="9" fillId="2" borderId="19" xfId="0" applyNumberFormat="1" applyFont="1" applyFill="1" applyBorder="1" applyAlignment="1">
      <alignment horizontal="center" vertical="center" shrinkToFit="1"/>
    </xf>
    <xf numFmtId="168" fontId="9" fillId="2" borderId="21" xfId="0" applyNumberFormat="1" applyFont="1" applyFill="1" applyBorder="1" applyAlignment="1">
      <alignment horizontal="center" vertical="center" shrinkToFit="1"/>
    </xf>
    <xf numFmtId="168" fontId="9" fillId="2" borderId="51" xfId="0" applyNumberFormat="1" applyFont="1" applyFill="1" applyBorder="1" applyAlignment="1">
      <alignment horizontal="center" vertical="center" shrinkToFit="1"/>
    </xf>
    <xf numFmtId="168" fontId="9" fillId="2" borderId="23" xfId="0" applyNumberFormat="1" applyFont="1" applyFill="1" applyBorder="1" applyAlignment="1">
      <alignment horizontal="center" vertical="center" shrinkToFit="1"/>
    </xf>
    <xf numFmtId="165" fontId="2" fillId="10" borderId="34" xfId="0" applyNumberFormat="1" applyFont="1" applyFill="1" applyBorder="1" applyAlignment="1">
      <alignment horizontal="center" vertical="center"/>
    </xf>
    <xf numFmtId="165" fontId="0" fillId="10" borderId="18" xfId="0" applyNumberFormat="1" applyFill="1" applyBorder="1" applyAlignment="1" applyProtection="1">
      <alignment horizontal="center" vertical="center"/>
      <protection hidden="1"/>
    </xf>
    <xf numFmtId="0" fontId="8" fillId="5" borderId="1" xfId="0" applyFont="1" applyFill="1" applyBorder="1" applyAlignment="1">
      <alignment vertical="top"/>
    </xf>
    <xf numFmtId="0" fontId="8" fillId="2" borderId="1" xfId="0" applyFont="1" applyFill="1" applyBorder="1" applyAlignment="1">
      <alignment vertical="top"/>
    </xf>
    <xf numFmtId="0" fontId="10" fillId="2" borderId="1" xfId="0" applyFont="1" applyFill="1" applyBorder="1" applyAlignment="1">
      <alignment vertical="top"/>
    </xf>
    <xf numFmtId="0" fontId="10" fillId="5" borderId="1" xfId="0" applyFont="1" applyFill="1" applyBorder="1" applyAlignment="1">
      <alignment vertical="top"/>
    </xf>
    <xf numFmtId="0" fontId="8" fillId="0" borderId="0" xfId="0" applyFont="1" applyAlignment="1">
      <alignment horizontal="left" vertical="top"/>
    </xf>
    <xf numFmtId="164" fontId="2" fillId="7" borderId="3" xfId="0" applyNumberFormat="1" applyFont="1" applyFill="1" applyBorder="1" applyAlignment="1">
      <alignment horizontal="center" vertical="center"/>
    </xf>
    <xf numFmtId="164" fontId="2" fillId="7" borderId="28" xfId="0" applyNumberFormat="1" applyFont="1" applyFill="1" applyBorder="1" applyAlignment="1">
      <alignment horizontal="center" vertical="center"/>
    </xf>
    <xf numFmtId="9" fontId="2" fillId="7" borderId="25" xfId="2" applyFont="1" applyFill="1" applyBorder="1" applyAlignment="1">
      <alignment horizontal="center"/>
    </xf>
    <xf numFmtId="9" fontId="2" fillId="7" borderId="19" xfId="2" applyFont="1" applyFill="1" applyBorder="1" applyAlignment="1">
      <alignment horizontal="center"/>
    </xf>
    <xf numFmtId="169" fontId="9" fillId="5" borderId="1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4" fontId="2" fillId="10" borderId="47" xfId="1" applyFont="1" applyFill="1" applyBorder="1" applyAlignment="1">
      <alignment horizontal="center" vertical="center"/>
    </xf>
    <xf numFmtId="44" fontId="2" fillId="7" borderId="5" xfId="1" applyFont="1" applyFill="1" applyBorder="1" applyAlignment="1">
      <alignment horizontal="center" vertical="center" wrapText="1"/>
    </xf>
    <xf numFmtId="165" fontId="2" fillId="10" borderId="27" xfId="0" applyNumberFormat="1" applyFont="1" applyFill="1" applyBorder="1" applyAlignment="1">
      <alignment horizontal="center" vertical="center"/>
    </xf>
    <xf numFmtId="44" fontId="2" fillId="7" borderId="47" xfId="1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0" fillId="10" borderId="18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horizontal="center" vertical="top" wrapText="1"/>
    </xf>
    <xf numFmtId="166" fontId="2" fillId="7" borderId="5" xfId="1" applyNumberFormat="1" applyFont="1" applyFill="1" applyBorder="1" applyAlignment="1">
      <alignment horizontal="center" vertical="center"/>
    </xf>
    <xf numFmtId="9" fontId="5" fillId="7" borderId="26" xfId="2" applyFont="1" applyFill="1" applyBorder="1" applyAlignment="1">
      <alignment horizontal="center" vertical="center"/>
    </xf>
    <xf numFmtId="169" fontId="14" fillId="7" borderId="1" xfId="0" applyNumberFormat="1" applyFont="1" applyFill="1" applyBorder="1" applyAlignment="1">
      <alignment horizontal="center" vertical="center" shrinkToFit="1"/>
    </xf>
    <xf numFmtId="169" fontId="14" fillId="7" borderId="1" xfId="0" applyNumberFormat="1" applyFont="1" applyFill="1" applyBorder="1" applyAlignment="1">
      <alignment horizontal="center" vertical="top" shrinkToFit="1"/>
    </xf>
    <xf numFmtId="0" fontId="7" fillId="9" borderId="1" xfId="0" applyFont="1" applyFill="1" applyBorder="1" applyAlignment="1" applyProtection="1">
      <alignment horizontal="center" vertical="center"/>
      <protection hidden="1"/>
    </xf>
    <xf numFmtId="164" fontId="5" fillId="4" borderId="1" xfId="0" applyNumberFormat="1" applyFont="1" applyFill="1" applyBorder="1" applyAlignment="1">
      <alignment horizontal="center" vertical="center"/>
    </xf>
    <xf numFmtId="169" fontId="9" fillId="2" borderId="52" xfId="0" applyNumberFormat="1" applyFont="1" applyFill="1" applyBorder="1" applyAlignment="1">
      <alignment horizontal="center" vertical="center" shrinkToFit="1"/>
    </xf>
    <xf numFmtId="169" fontId="14" fillId="7" borderId="52" xfId="0" applyNumberFormat="1" applyFont="1" applyFill="1" applyBorder="1" applyAlignment="1">
      <alignment horizontal="center" vertical="center" shrinkToFit="1"/>
    </xf>
    <xf numFmtId="0" fontId="7" fillId="9" borderId="14" xfId="0" applyFont="1" applyFill="1" applyBorder="1" applyAlignment="1" applyProtection="1">
      <alignment horizontal="center" vertical="center"/>
      <protection hidden="1"/>
    </xf>
    <xf numFmtId="164" fontId="5" fillId="7" borderId="26" xfId="1" applyNumberFormat="1" applyFont="1" applyFill="1" applyBorder="1" applyAlignment="1">
      <alignment horizontal="center" vertical="center"/>
    </xf>
    <xf numFmtId="164" fontId="5" fillId="4" borderId="14" xfId="0" applyNumberFormat="1" applyFont="1" applyFill="1" applyBorder="1" applyAlignment="1">
      <alignment horizontal="center" vertical="center"/>
    </xf>
    <xf numFmtId="9" fontId="2" fillId="7" borderId="26" xfId="2" applyFont="1" applyFill="1" applyBorder="1" applyAlignment="1">
      <alignment horizontal="center" vertical="center"/>
    </xf>
    <xf numFmtId="169" fontId="14" fillId="7" borderId="50" xfId="0" applyNumberFormat="1" applyFont="1" applyFill="1" applyBorder="1" applyAlignment="1">
      <alignment horizontal="center" vertical="top" shrinkToFit="1"/>
    </xf>
    <xf numFmtId="0" fontId="7" fillId="9" borderId="50" xfId="0" applyFont="1" applyFill="1" applyBorder="1" applyAlignment="1" applyProtection="1">
      <alignment horizontal="center" vertical="center"/>
      <protection hidden="1"/>
    </xf>
    <xf numFmtId="164" fontId="5" fillId="7" borderId="50" xfId="1" applyNumberFormat="1" applyFont="1" applyFill="1" applyBorder="1" applyAlignment="1">
      <alignment horizontal="center" vertical="center"/>
    </xf>
    <xf numFmtId="164" fontId="5" fillId="4" borderId="50" xfId="0" applyNumberFormat="1" applyFont="1" applyFill="1" applyBorder="1" applyAlignment="1">
      <alignment horizontal="center" vertical="center"/>
    </xf>
    <xf numFmtId="9" fontId="5" fillId="7" borderId="19" xfId="2" applyFont="1" applyFill="1" applyBorder="1" applyAlignment="1">
      <alignment horizontal="center" vertical="center"/>
    </xf>
    <xf numFmtId="164" fontId="5" fillId="7" borderId="51" xfId="1" applyNumberFormat="1" applyFont="1" applyFill="1" applyBorder="1" applyAlignment="1">
      <alignment horizontal="center" vertical="center"/>
    </xf>
    <xf numFmtId="164" fontId="5" fillId="4" borderId="51" xfId="0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/>
    </xf>
    <xf numFmtId="164" fontId="2" fillId="7" borderId="1" xfId="1" applyNumberFormat="1" applyFont="1" applyFill="1" applyBorder="1" applyAlignment="1">
      <alignment horizontal="center"/>
    </xf>
    <xf numFmtId="9" fontId="2" fillId="7" borderId="1" xfId="2" applyFont="1" applyFill="1" applyBorder="1" applyAlignment="1">
      <alignment horizontal="center"/>
    </xf>
    <xf numFmtId="0" fontId="7" fillId="10" borderId="1" xfId="0" applyFont="1" applyFill="1" applyBorder="1" applyAlignment="1" applyProtection="1">
      <alignment horizontal="center" vertical="center"/>
      <protection hidden="1"/>
    </xf>
    <xf numFmtId="164" fontId="5" fillId="7" borderId="30" xfId="1" applyNumberFormat="1" applyFont="1" applyFill="1" applyBorder="1" applyAlignment="1">
      <alignment horizontal="center" vertical="center"/>
    </xf>
    <xf numFmtId="164" fontId="5" fillId="7" borderId="2" xfId="1" applyNumberFormat="1" applyFont="1" applyFill="1" applyBorder="1" applyAlignment="1">
      <alignment horizontal="center" vertical="center"/>
    </xf>
    <xf numFmtId="0" fontId="7" fillId="10" borderId="2" xfId="0" applyFont="1" applyFill="1" applyBorder="1" applyAlignment="1" applyProtection="1">
      <alignment horizontal="center" vertical="center"/>
      <protection hidden="1"/>
    </xf>
    <xf numFmtId="164" fontId="5" fillId="4" borderId="2" xfId="0" applyNumberFormat="1" applyFont="1" applyFill="1" applyBorder="1" applyAlignment="1">
      <alignment horizontal="center" vertical="center"/>
    </xf>
    <xf numFmtId="9" fontId="5" fillId="7" borderId="2" xfId="2" applyFont="1" applyFill="1" applyBorder="1" applyAlignment="1">
      <alignment horizontal="center" vertical="center"/>
    </xf>
    <xf numFmtId="0" fontId="7" fillId="10" borderId="50" xfId="0" applyFont="1" applyFill="1" applyBorder="1" applyAlignment="1" applyProtection="1">
      <alignment horizontal="center" vertical="center"/>
      <protection hidden="1"/>
    </xf>
    <xf numFmtId="0" fontId="7" fillId="10" borderId="51" xfId="0" applyFont="1" applyFill="1" applyBorder="1" applyAlignment="1" applyProtection="1">
      <alignment horizontal="center" vertical="center"/>
      <protection hidden="1"/>
    </xf>
    <xf numFmtId="9" fontId="5" fillId="7" borderId="23" xfId="2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vertical="top"/>
    </xf>
    <xf numFmtId="0" fontId="10" fillId="2" borderId="51" xfId="0" applyFont="1" applyFill="1" applyBorder="1" applyAlignment="1">
      <alignment vertical="top"/>
    </xf>
    <xf numFmtId="0" fontId="8" fillId="5" borderId="1" xfId="0" applyFont="1" applyFill="1" applyBorder="1" applyAlignment="1">
      <alignment horizontal="center" vertical="top"/>
    </xf>
    <xf numFmtId="0" fontId="0" fillId="6" borderId="6" xfId="0" applyFill="1" applyBorder="1"/>
    <xf numFmtId="0" fontId="0" fillId="6" borderId="7" xfId="0" applyFill="1" applyBorder="1"/>
    <xf numFmtId="0" fontId="0" fillId="6" borderId="10" xfId="0" applyFill="1" applyBorder="1"/>
    <xf numFmtId="0" fontId="0" fillId="6" borderId="11" xfId="0" applyFill="1" applyBorder="1"/>
    <xf numFmtId="0" fontId="0" fillId="6" borderId="8" xfId="0" applyFill="1" applyBorder="1"/>
    <xf numFmtId="0" fontId="0" fillId="6" borderId="9" xfId="0" applyFill="1" applyBorder="1"/>
    <xf numFmtId="0" fontId="17" fillId="0" borderId="0" xfId="0" applyFont="1" applyAlignment="1">
      <alignment horizontal="left" vertical="top"/>
    </xf>
    <xf numFmtId="169" fontId="8" fillId="0" borderId="0" xfId="0" applyNumberFormat="1" applyFont="1" applyAlignment="1">
      <alignment horizontal="center" vertical="center"/>
    </xf>
    <xf numFmtId="0" fontId="8" fillId="2" borderId="1" xfId="0" applyFont="1" applyFill="1" applyBorder="1" applyAlignment="1">
      <alignment horizontal="center" vertical="top"/>
    </xf>
    <xf numFmtId="0" fontId="19" fillId="3" borderId="0" xfId="0" applyFont="1" applyFill="1" applyAlignment="1">
      <alignment horizontal="center" vertical="center"/>
    </xf>
    <xf numFmtId="0" fontId="2" fillId="3" borderId="36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2" fillId="8" borderId="17" xfId="1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/>
    </xf>
    <xf numFmtId="169" fontId="9" fillId="5" borderId="2" xfId="0" applyNumberFormat="1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wrapText="1"/>
    </xf>
    <xf numFmtId="0" fontId="18" fillId="2" borderId="50" xfId="0" applyFont="1" applyFill="1" applyBorder="1" applyAlignment="1">
      <alignment horizontal="left" vertical="center" wrapText="1"/>
    </xf>
    <xf numFmtId="164" fontId="19" fillId="2" borderId="50" xfId="1" applyNumberFormat="1" applyFont="1" applyFill="1" applyBorder="1" applyAlignment="1">
      <alignment horizontal="center" vertical="center" wrapText="1"/>
    </xf>
    <xf numFmtId="164" fontId="19" fillId="2" borderId="19" xfId="1" applyNumberFormat="1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164" fontId="19" fillId="2" borderId="21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8" fillId="2" borderId="51" xfId="0" applyFont="1" applyFill="1" applyBorder="1" applyAlignment="1">
      <alignment horizontal="left" vertical="center" wrapText="1"/>
    </xf>
    <xf numFmtId="164" fontId="19" fillId="2" borderId="51" xfId="1" applyNumberFormat="1" applyFont="1" applyFill="1" applyBorder="1" applyAlignment="1">
      <alignment horizontal="center" vertical="center" wrapText="1"/>
    </xf>
    <xf numFmtId="164" fontId="19" fillId="2" borderId="23" xfId="1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164" fontId="5" fillId="7" borderId="29" xfId="1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top"/>
    </xf>
    <xf numFmtId="168" fontId="9" fillId="5" borderId="2" xfId="0" applyNumberFormat="1" applyFont="1" applyFill="1" applyBorder="1" applyAlignment="1">
      <alignment horizontal="center" vertical="center" shrinkToFit="1"/>
    </xf>
    <xf numFmtId="0" fontId="8" fillId="2" borderId="20" xfId="0" applyFont="1" applyFill="1" applyBorder="1" applyAlignment="1">
      <alignment vertical="top"/>
    </xf>
    <xf numFmtId="0" fontId="8" fillId="2" borderId="22" xfId="0" applyFont="1" applyFill="1" applyBorder="1" applyAlignment="1">
      <alignment vertical="top"/>
    </xf>
    <xf numFmtId="0" fontId="8" fillId="2" borderId="51" xfId="0" applyFont="1" applyFill="1" applyBorder="1" applyAlignment="1">
      <alignment vertical="top"/>
    </xf>
    <xf numFmtId="168" fontId="19" fillId="2" borderId="50" xfId="0" applyNumberFormat="1" applyFont="1" applyFill="1" applyBorder="1" applyAlignment="1">
      <alignment horizontal="center" vertical="center"/>
    </xf>
    <xf numFmtId="168" fontId="19" fillId="2" borderId="19" xfId="0" applyNumberFormat="1" applyFont="1" applyFill="1" applyBorder="1" applyAlignment="1">
      <alignment horizontal="center" vertical="center"/>
    </xf>
    <xf numFmtId="168" fontId="19" fillId="2" borderId="1" xfId="0" applyNumberFormat="1" applyFont="1" applyFill="1" applyBorder="1" applyAlignment="1">
      <alignment horizontal="center" vertical="center"/>
    </xf>
    <xf numFmtId="168" fontId="19" fillId="2" borderId="21" xfId="0" applyNumberFormat="1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left" vertical="top"/>
    </xf>
    <xf numFmtId="0" fontId="9" fillId="2" borderId="50" xfId="0" applyFont="1" applyFill="1" applyBorder="1" applyAlignment="1">
      <alignment horizontal="left" vertical="top"/>
    </xf>
    <xf numFmtId="0" fontId="9" fillId="2" borderId="20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left" vertical="top"/>
    </xf>
    <xf numFmtId="164" fontId="2" fillId="7" borderId="30" xfId="1" applyNumberFormat="1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top"/>
    </xf>
    <xf numFmtId="0" fontId="8" fillId="2" borderId="20" xfId="0" applyFont="1" applyFill="1" applyBorder="1" applyAlignment="1">
      <alignment horizontal="center" vertical="top"/>
    </xf>
    <xf numFmtId="0" fontId="8" fillId="2" borderId="22" xfId="0" applyFont="1" applyFill="1" applyBorder="1" applyAlignment="1">
      <alignment horizontal="center" vertical="top"/>
    </xf>
    <xf numFmtId="0" fontId="8" fillId="5" borderId="2" xfId="0" applyFont="1" applyFill="1" applyBorder="1" applyAlignment="1">
      <alignment horizontal="center" vertical="top"/>
    </xf>
    <xf numFmtId="169" fontId="8" fillId="2" borderId="18" xfId="0" applyNumberFormat="1" applyFont="1" applyFill="1" applyBorder="1" applyAlignment="1">
      <alignment horizontal="center" vertical="center"/>
    </xf>
    <xf numFmtId="169" fontId="9" fillId="2" borderId="50" xfId="0" applyNumberFormat="1" applyFont="1" applyFill="1" applyBorder="1" applyAlignment="1">
      <alignment horizontal="center" vertical="center" shrinkToFit="1"/>
    </xf>
    <xf numFmtId="169" fontId="9" fillId="2" borderId="19" xfId="0" applyNumberFormat="1" applyFont="1" applyFill="1" applyBorder="1" applyAlignment="1">
      <alignment horizontal="center" vertical="center" shrinkToFit="1"/>
    </xf>
    <xf numFmtId="169" fontId="8" fillId="2" borderId="20" xfId="0" applyNumberFormat="1" applyFont="1" applyFill="1" applyBorder="1" applyAlignment="1">
      <alignment horizontal="center" vertical="center"/>
    </xf>
    <xf numFmtId="169" fontId="9" fillId="2" borderId="21" xfId="0" applyNumberFormat="1" applyFont="1" applyFill="1" applyBorder="1" applyAlignment="1">
      <alignment horizontal="center" vertical="center" shrinkToFit="1"/>
    </xf>
    <xf numFmtId="169" fontId="9" fillId="2" borderId="51" xfId="0" applyNumberFormat="1" applyFont="1" applyFill="1" applyBorder="1" applyAlignment="1">
      <alignment horizontal="center" vertical="center" shrinkToFit="1"/>
    </xf>
    <xf numFmtId="169" fontId="9" fillId="2" borderId="23" xfId="0" applyNumberFormat="1" applyFont="1" applyFill="1" applyBorder="1" applyAlignment="1">
      <alignment horizontal="center" vertical="center" shrinkToFit="1"/>
    </xf>
    <xf numFmtId="169" fontId="10" fillId="2" borderId="50" xfId="0" applyNumberFormat="1" applyFont="1" applyFill="1" applyBorder="1" applyAlignment="1">
      <alignment horizontal="center" vertical="center"/>
    </xf>
    <xf numFmtId="169" fontId="10" fillId="2" borderId="1" xfId="0" applyNumberFormat="1" applyFont="1" applyFill="1" applyBorder="1" applyAlignment="1">
      <alignment horizontal="center" vertical="center"/>
    </xf>
    <xf numFmtId="169" fontId="8" fillId="2" borderId="49" xfId="0" applyNumberFormat="1" applyFont="1" applyFill="1" applyBorder="1" applyAlignment="1">
      <alignment horizontal="center" vertical="center"/>
    </xf>
    <xf numFmtId="169" fontId="10" fillId="2" borderId="52" xfId="0" applyNumberFormat="1" applyFont="1" applyFill="1" applyBorder="1" applyAlignment="1">
      <alignment horizontal="center" vertical="center"/>
    </xf>
    <xf numFmtId="169" fontId="9" fillId="2" borderId="26" xfId="0" applyNumberFormat="1" applyFont="1" applyFill="1" applyBorder="1" applyAlignment="1">
      <alignment horizontal="center" vertical="center" shrinkToFit="1"/>
    </xf>
    <xf numFmtId="169" fontId="8" fillId="5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top" wrapText="1" indent="1"/>
    </xf>
    <xf numFmtId="0" fontId="8" fillId="5" borderId="1" xfId="0" applyFont="1" applyFill="1" applyBorder="1" applyAlignment="1">
      <alignment horizontal="left" vertical="top" wrapText="1" indent="1"/>
    </xf>
    <xf numFmtId="0" fontId="19" fillId="5" borderId="1" xfId="0" applyFont="1" applyFill="1" applyBorder="1" applyAlignment="1">
      <alignment horizontal="center" vertical="center"/>
    </xf>
    <xf numFmtId="169" fontId="19" fillId="5" borderId="1" xfId="0" applyNumberFormat="1" applyFont="1" applyFill="1" applyBorder="1" applyAlignment="1">
      <alignment horizontal="center" vertical="center" shrinkToFit="1"/>
    </xf>
    <xf numFmtId="164" fontId="2" fillId="7" borderId="39" xfId="0" applyNumberFormat="1" applyFont="1" applyFill="1" applyBorder="1" applyAlignment="1">
      <alignment horizontal="center" vertical="center"/>
    </xf>
    <xf numFmtId="164" fontId="2" fillId="7" borderId="53" xfId="0" applyNumberFormat="1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169" fontId="19" fillId="5" borderId="2" xfId="0" applyNumberFormat="1" applyFont="1" applyFill="1" applyBorder="1" applyAlignment="1">
      <alignment horizontal="center" vertical="center" shrinkToFit="1"/>
    </xf>
    <xf numFmtId="0" fontId="8" fillId="2" borderId="18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15" fillId="6" borderId="42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5" fillId="6" borderId="0" xfId="0" applyFont="1" applyFill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12" fillId="4" borderId="12" xfId="0" applyFont="1" applyFill="1" applyBorder="1" applyAlignment="1">
      <alignment horizontal="center"/>
    </xf>
    <xf numFmtId="0" fontId="12" fillId="4" borderId="32" xfId="0" applyFont="1" applyFill="1" applyBorder="1" applyAlignment="1">
      <alignment horizontal="center"/>
    </xf>
    <xf numFmtId="0" fontId="12" fillId="4" borderId="33" xfId="0" applyFont="1" applyFill="1" applyBorder="1" applyAlignment="1">
      <alignment horizontal="center"/>
    </xf>
    <xf numFmtId="9" fontId="16" fillId="4" borderId="10" xfId="0" applyNumberFormat="1" applyFont="1" applyFill="1" applyBorder="1" applyAlignment="1">
      <alignment horizontal="center" vertical="center"/>
    </xf>
    <xf numFmtId="9" fontId="16" fillId="4" borderId="0" xfId="0" applyNumberFormat="1" applyFont="1" applyFill="1" applyAlignment="1">
      <alignment horizontal="center" vertical="center"/>
    </xf>
    <xf numFmtId="9" fontId="16" fillId="4" borderId="7" xfId="0" applyNumberFormat="1" applyFont="1" applyFill="1" applyBorder="1" applyAlignment="1">
      <alignment horizontal="center" vertical="center"/>
    </xf>
    <xf numFmtId="9" fontId="16" fillId="4" borderId="11" xfId="0" applyNumberFormat="1" applyFont="1" applyFill="1" applyBorder="1" applyAlignment="1">
      <alignment horizontal="center" vertical="center"/>
    </xf>
    <xf numFmtId="9" fontId="16" fillId="4" borderId="8" xfId="0" applyNumberFormat="1" applyFont="1" applyFill="1" applyBorder="1" applyAlignment="1">
      <alignment horizontal="center" vertical="center"/>
    </xf>
    <xf numFmtId="9" fontId="16" fillId="4" borderId="9" xfId="0" applyNumberFormat="1" applyFont="1" applyFill="1" applyBorder="1" applyAlignment="1">
      <alignment horizontal="center" vertical="center"/>
    </xf>
    <xf numFmtId="6" fontId="16" fillId="4" borderId="42" xfId="0" applyNumberFormat="1" applyFont="1" applyFill="1" applyBorder="1" applyAlignment="1">
      <alignment horizontal="center" vertical="center"/>
    </xf>
    <xf numFmtId="6" fontId="16" fillId="4" borderId="5" xfId="0" applyNumberFormat="1" applyFont="1" applyFill="1" applyBorder="1" applyAlignment="1">
      <alignment horizontal="center" vertical="center"/>
    </xf>
    <xf numFmtId="6" fontId="16" fillId="4" borderId="6" xfId="0" applyNumberFormat="1" applyFont="1" applyFill="1" applyBorder="1" applyAlignment="1">
      <alignment horizontal="center" vertical="center"/>
    </xf>
    <xf numFmtId="6" fontId="16" fillId="4" borderId="11" xfId="0" applyNumberFormat="1" applyFont="1" applyFill="1" applyBorder="1" applyAlignment="1">
      <alignment horizontal="center" vertical="center"/>
    </xf>
    <xf numFmtId="6" fontId="16" fillId="4" borderId="8" xfId="0" applyNumberFormat="1" applyFont="1" applyFill="1" applyBorder="1" applyAlignment="1">
      <alignment horizontal="center" vertical="center"/>
    </xf>
    <xf numFmtId="6" fontId="16" fillId="4" borderId="9" xfId="0" applyNumberFormat="1" applyFont="1" applyFill="1" applyBorder="1" applyAlignment="1">
      <alignment horizontal="center" vertical="center"/>
    </xf>
    <xf numFmtId="0" fontId="0" fillId="6" borderId="10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26 Hummer SUV'!A1"/><Relationship Id="rId3" Type="http://schemas.openxmlformats.org/officeDocument/2006/relationships/hyperlink" Target="#'2026 Sierra EV'!A1"/><Relationship Id="rId7" Type="http://schemas.openxmlformats.org/officeDocument/2006/relationships/hyperlink" Target="#'26 Hummer SUT '!A1"/><Relationship Id="rId2" Type="http://schemas.openxmlformats.org/officeDocument/2006/relationships/hyperlink" Target="#'2026 Sierra HD'!A1"/><Relationship Id="rId1" Type="http://schemas.openxmlformats.org/officeDocument/2006/relationships/hyperlink" Target="#'2026 Sierra LD'!A1"/><Relationship Id="rId6" Type="http://schemas.openxmlformats.org/officeDocument/2006/relationships/hyperlink" Target="#'26 Acadia'!A1"/><Relationship Id="rId11" Type="http://schemas.openxmlformats.org/officeDocument/2006/relationships/image" Target="../media/image1.png"/><Relationship Id="rId5" Type="http://schemas.openxmlformats.org/officeDocument/2006/relationships/hyperlink" Target="#'26 Canyon'!A1"/><Relationship Id="rId10" Type="http://schemas.openxmlformats.org/officeDocument/2006/relationships/hyperlink" Target="#Home!A1"/><Relationship Id="rId4" Type="http://schemas.openxmlformats.org/officeDocument/2006/relationships/hyperlink" Target="#'26 Terrain'!A1"/><Relationship Id="rId9" Type="http://schemas.openxmlformats.org/officeDocument/2006/relationships/hyperlink" Target="#'26 Yukon-XL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9525</xdr:rowOff>
    </xdr:from>
    <xdr:to>
      <xdr:col>4</xdr:col>
      <xdr:colOff>600075</xdr:colOff>
      <xdr:row>15</xdr:row>
      <xdr:rowOff>180975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F6D14C-E0C0-410C-A764-103A2A4F6B81}"/>
            </a:ext>
          </a:extLst>
        </xdr:cNvPr>
        <xdr:cNvSpPr/>
      </xdr:nvSpPr>
      <xdr:spPr>
        <a:xfrm>
          <a:off x="619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Sierra 1500</a:t>
          </a:r>
          <a:endParaRPr lang="en-US" sz="1100"/>
        </a:p>
      </xdr:txBody>
    </xdr:sp>
    <xdr:clientData/>
  </xdr:twoCellAnchor>
  <xdr:twoCellAnchor>
    <xdr:from>
      <xdr:col>6</xdr:col>
      <xdr:colOff>9525</xdr:colOff>
      <xdr:row>13</xdr:row>
      <xdr:rowOff>9525</xdr:rowOff>
    </xdr:from>
    <xdr:to>
      <xdr:col>9</xdr:col>
      <xdr:colOff>600075</xdr:colOff>
      <xdr:row>15</xdr:row>
      <xdr:rowOff>180975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3B21ED-B7BD-43B5-AF55-B4CEC57D257B}"/>
            </a:ext>
          </a:extLst>
        </xdr:cNvPr>
        <xdr:cNvSpPr/>
      </xdr:nvSpPr>
      <xdr:spPr>
        <a:xfrm>
          <a:off x="3667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Sierra</a:t>
          </a:r>
          <a:r>
            <a:rPr lang="en-US" sz="2800" baseline="0"/>
            <a:t> HD</a:t>
          </a:r>
          <a:endParaRPr lang="en-US" sz="1100"/>
        </a:p>
      </xdr:txBody>
    </xdr:sp>
    <xdr:clientData/>
  </xdr:twoCellAnchor>
  <xdr:twoCellAnchor>
    <xdr:from>
      <xdr:col>11</xdr:col>
      <xdr:colOff>9525</xdr:colOff>
      <xdr:row>13</xdr:row>
      <xdr:rowOff>9525</xdr:rowOff>
    </xdr:from>
    <xdr:to>
      <xdr:col>14</xdr:col>
      <xdr:colOff>600075</xdr:colOff>
      <xdr:row>15</xdr:row>
      <xdr:rowOff>180975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9C63DC-3D3B-4B7B-AE1D-727DBC4147E7}"/>
            </a:ext>
          </a:extLst>
        </xdr:cNvPr>
        <xdr:cNvSpPr/>
      </xdr:nvSpPr>
      <xdr:spPr>
        <a:xfrm>
          <a:off x="6715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Sierra EV</a:t>
          </a:r>
          <a:endParaRPr lang="en-US" sz="1100"/>
        </a:p>
      </xdr:txBody>
    </xdr:sp>
    <xdr:clientData/>
  </xdr:twoCellAnchor>
  <xdr:twoCellAnchor>
    <xdr:from>
      <xdr:col>1</xdr:col>
      <xdr:colOff>9525</xdr:colOff>
      <xdr:row>18</xdr:row>
      <xdr:rowOff>9525</xdr:rowOff>
    </xdr:from>
    <xdr:to>
      <xdr:col>4</xdr:col>
      <xdr:colOff>600075</xdr:colOff>
      <xdr:row>20</xdr:row>
      <xdr:rowOff>180975</xdr:rowOff>
    </xdr:to>
    <xdr:sp macro="" textlink="">
      <xdr:nvSpPr>
        <xdr:cNvPr id="6" name="Rectangl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383F80-1B6A-49D7-BD3E-523F3EC88B77}"/>
            </a:ext>
          </a:extLst>
        </xdr:cNvPr>
        <xdr:cNvSpPr/>
      </xdr:nvSpPr>
      <xdr:spPr>
        <a:xfrm>
          <a:off x="619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Terrain</a:t>
          </a:r>
          <a:endParaRPr lang="en-US" sz="1100"/>
        </a:p>
      </xdr:txBody>
    </xdr:sp>
    <xdr:clientData/>
  </xdr:twoCellAnchor>
  <xdr:twoCellAnchor>
    <xdr:from>
      <xdr:col>6</xdr:col>
      <xdr:colOff>9525</xdr:colOff>
      <xdr:row>18</xdr:row>
      <xdr:rowOff>9525</xdr:rowOff>
    </xdr:from>
    <xdr:to>
      <xdr:col>9</xdr:col>
      <xdr:colOff>600075</xdr:colOff>
      <xdr:row>20</xdr:row>
      <xdr:rowOff>180975</xdr:rowOff>
    </xdr:to>
    <xdr:sp macro="" textlink="">
      <xdr:nvSpPr>
        <xdr:cNvPr id="7" name="Rectangl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67AB49A-F84E-4BB8-B08D-ADD471A23AE0}"/>
            </a:ext>
          </a:extLst>
        </xdr:cNvPr>
        <xdr:cNvSpPr/>
      </xdr:nvSpPr>
      <xdr:spPr>
        <a:xfrm>
          <a:off x="3667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Canyon</a:t>
          </a:r>
          <a:endParaRPr lang="en-US" sz="1100"/>
        </a:p>
      </xdr:txBody>
    </xdr:sp>
    <xdr:clientData/>
  </xdr:twoCellAnchor>
  <xdr:twoCellAnchor>
    <xdr:from>
      <xdr:col>11</xdr:col>
      <xdr:colOff>9525</xdr:colOff>
      <xdr:row>18</xdr:row>
      <xdr:rowOff>9525</xdr:rowOff>
    </xdr:from>
    <xdr:to>
      <xdr:col>14</xdr:col>
      <xdr:colOff>600075</xdr:colOff>
      <xdr:row>20</xdr:row>
      <xdr:rowOff>180975</xdr:rowOff>
    </xdr:to>
    <xdr:sp macro="" textlink="">
      <xdr:nvSpPr>
        <xdr:cNvPr id="8" name="Rectangl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46FBA0-5863-4FDA-9ECF-E41A71B3A7E0}"/>
            </a:ext>
          </a:extLst>
        </xdr:cNvPr>
        <xdr:cNvSpPr/>
      </xdr:nvSpPr>
      <xdr:spPr>
        <a:xfrm>
          <a:off x="6715125" y="2171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Acadia</a:t>
          </a:r>
        </a:p>
      </xdr:txBody>
    </xdr:sp>
    <xdr:clientData/>
  </xdr:twoCellAnchor>
  <xdr:twoCellAnchor>
    <xdr:from>
      <xdr:col>1</xdr:col>
      <xdr:colOff>9525</xdr:colOff>
      <xdr:row>23</xdr:row>
      <xdr:rowOff>9525</xdr:rowOff>
    </xdr:from>
    <xdr:to>
      <xdr:col>4</xdr:col>
      <xdr:colOff>600075</xdr:colOff>
      <xdr:row>25</xdr:row>
      <xdr:rowOff>180975</xdr:rowOff>
    </xdr:to>
    <xdr:sp macro="" textlink="">
      <xdr:nvSpPr>
        <xdr:cNvPr id="9" name="Rectangl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9A87588-4B2E-4C40-94BF-DEC0C01904D0}"/>
            </a:ext>
          </a:extLst>
        </xdr:cNvPr>
        <xdr:cNvSpPr/>
      </xdr:nvSpPr>
      <xdr:spPr>
        <a:xfrm>
          <a:off x="619125" y="31242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Hummer Truck</a:t>
          </a:r>
          <a:endParaRPr lang="en-US" sz="1100"/>
        </a:p>
      </xdr:txBody>
    </xdr:sp>
    <xdr:clientData/>
  </xdr:twoCellAnchor>
  <xdr:twoCellAnchor>
    <xdr:from>
      <xdr:col>6</xdr:col>
      <xdr:colOff>9525</xdr:colOff>
      <xdr:row>23</xdr:row>
      <xdr:rowOff>9525</xdr:rowOff>
    </xdr:from>
    <xdr:to>
      <xdr:col>9</xdr:col>
      <xdr:colOff>600075</xdr:colOff>
      <xdr:row>25</xdr:row>
      <xdr:rowOff>180975</xdr:rowOff>
    </xdr:to>
    <xdr:sp macro="" textlink="">
      <xdr:nvSpPr>
        <xdr:cNvPr id="10" name="Rectangl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42285EB-0985-4222-A8DF-665E40005B8F}"/>
            </a:ext>
          </a:extLst>
        </xdr:cNvPr>
        <xdr:cNvSpPr/>
      </xdr:nvSpPr>
      <xdr:spPr>
        <a:xfrm>
          <a:off x="3667125" y="40767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Hummer SUV</a:t>
          </a:r>
        </a:p>
      </xdr:txBody>
    </xdr:sp>
    <xdr:clientData/>
  </xdr:twoCellAnchor>
  <xdr:twoCellAnchor>
    <xdr:from>
      <xdr:col>11</xdr:col>
      <xdr:colOff>9525</xdr:colOff>
      <xdr:row>23</xdr:row>
      <xdr:rowOff>9525</xdr:rowOff>
    </xdr:from>
    <xdr:to>
      <xdr:col>14</xdr:col>
      <xdr:colOff>600075</xdr:colOff>
      <xdr:row>25</xdr:row>
      <xdr:rowOff>180975</xdr:rowOff>
    </xdr:to>
    <xdr:sp macro="" textlink="">
      <xdr:nvSpPr>
        <xdr:cNvPr id="11" name="Rectangl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98CEAC3-536E-4762-B8DA-B0A0D104BEDC}"/>
            </a:ext>
          </a:extLst>
        </xdr:cNvPr>
        <xdr:cNvSpPr/>
      </xdr:nvSpPr>
      <xdr:spPr>
        <a:xfrm>
          <a:off x="6715125" y="3124200"/>
          <a:ext cx="2419350" cy="5524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/>
            <a:t>Yukon</a:t>
          </a:r>
        </a:p>
      </xdr:txBody>
    </xdr:sp>
    <xdr:clientData/>
  </xdr:twoCellAnchor>
  <xdr:twoCellAnchor editAs="oneCell">
    <xdr:from>
      <xdr:col>10</xdr:col>
      <xdr:colOff>104776</xdr:colOff>
      <xdr:row>5</xdr:row>
      <xdr:rowOff>7882</xdr:rowOff>
    </xdr:from>
    <xdr:to>
      <xdr:col>10</xdr:col>
      <xdr:colOff>371476</xdr:colOff>
      <xdr:row>6</xdr:row>
      <xdr:rowOff>38099</xdr:rowOff>
    </xdr:to>
    <xdr:pic>
      <xdr:nvPicPr>
        <xdr:cNvPr id="17" name="Picture 16" descr="Address, blue, casa, circle, home, house, local icon - Download on  Iconfinder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D7B3352-BA98-455A-9DA9-03EF47317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6" y="1008007"/>
          <a:ext cx="266700" cy="2207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27672" name="AutoShape 24" descr=" ">
          <a:extLst>
            <a:ext uri="{FF2B5EF4-FFF2-40B4-BE49-F238E27FC236}">
              <a16:creationId xmlns:a16="http://schemas.microsoft.com/office/drawing/2014/main" id="{17B79405-B429-389F-3E97-84B585BBD9B5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372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7673" name="AutoShape 25" descr=":eyes~1:">
          <a:extLst>
            <a:ext uri="{FF2B5EF4-FFF2-40B4-BE49-F238E27FC236}">
              <a16:creationId xmlns:a16="http://schemas.microsoft.com/office/drawing/2014/main" id="{9050B8EC-0792-809A-D1B8-61507AB50872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7674" name="AutoShape 26" descr="❤️‍🔥">
          <a:extLst>
            <a:ext uri="{FF2B5EF4-FFF2-40B4-BE49-F238E27FC236}">
              <a16:creationId xmlns:a16="http://schemas.microsoft.com/office/drawing/2014/main" id="{009D33E1-00D0-19FA-E8A0-817E8A7A8C82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973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7679" name="AutoShape 31" descr=" ">
          <a:extLst>
            <a:ext uri="{FF2B5EF4-FFF2-40B4-BE49-F238E27FC236}">
              <a16:creationId xmlns:a16="http://schemas.microsoft.com/office/drawing/2014/main" id="{ACF997F7-6D42-B0B0-0747-953EEB2C9301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7680" name="AutoShape 32" descr=":eyes~1:">
          <a:extLst>
            <a:ext uri="{FF2B5EF4-FFF2-40B4-BE49-F238E27FC236}">
              <a16:creationId xmlns:a16="http://schemas.microsoft.com/office/drawing/2014/main" id="{1F1FE3C6-6E68-385B-A3DE-C1BFD9470301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287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7681" name="AutoShape 33" descr="❤️‍🔥">
          <a:extLst>
            <a:ext uri="{FF2B5EF4-FFF2-40B4-BE49-F238E27FC236}">
              <a16:creationId xmlns:a16="http://schemas.microsoft.com/office/drawing/2014/main" id="{29174D19-27F7-240D-4D2E-9E8ACB2F0CC6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38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7682" name="AutoShape 34" descr=" ">
          <a:extLst>
            <a:ext uri="{FF2B5EF4-FFF2-40B4-BE49-F238E27FC236}">
              <a16:creationId xmlns:a16="http://schemas.microsoft.com/office/drawing/2014/main" id="{9475F243-C75A-7891-481A-D977A6F4238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783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10</xdr:col>
      <xdr:colOff>771525</xdr:colOff>
      <xdr:row>3</xdr:row>
      <xdr:rowOff>381000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75B8B7-FC11-4E5E-8A29-9D27DFF6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2375" y="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0241" name="AutoShape 1" descr=" ">
          <a:extLst>
            <a:ext uri="{FF2B5EF4-FFF2-40B4-BE49-F238E27FC236}">
              <a16:creationId xmlns:a16="http://schemas.microsoft.com/office/drawing/2014/main" id="{FAC98D38-67F2-FD09-EC63-8F7D5361B59E}"/>
            </a:ext>
          </a:extLst>
        </xdr:cNvPr>
        <xdr:cNvSpPr>
          <a:spLocks noChangeAspect="1" noChangeArrowheads="1"/>
        </xdr:cNvSpPr>
      </xdr:nvSpPr>
      <xdr:spPr bwMode="auto">
        <a:xfrm>
          <a:off x="19573875" y="1183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0242" name="AutoShape 2" descr=":eyes~1:">
          <a:extLst>
            <a:ext uri="{FF2B5EF4-FFF2-40B4-BE49-F238E27FC236}">
              <a16:creationId xmlns:a16="http://schemas.microsoft.com/office/drawing/2014/main" id="{C78C6E29-E100-64B6-281F-60AF8F53BFE2}"/>
            </a:ext>
          </a:extLst>
        </xdr:cNvPr>
        <xdr:cNvSpPr>
          <a:spLocks noChangeAspect="1" noChangeArrowheads="1"/>
        </xdr:cNvSpPr>
      </xdr:nvSpPr>
      <xdr:spPr bwMode="auto">
        <a:xfrm>
          <a:off x="19573875" y="1334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0243" name="AutoShape 3" descr="❤️‍🔥">
          <a:extLst>
            <a:ext uri="{FF2B5EF4-FFF2-40B4-BE49-F238E27FC236}">
              <a16:creationId xmlns:a16="http://schemas.microsoft.com/office/drawing/2014/main" id="{9E01137F-D16F-143B-2047-E231B4969C17}"/>
            </a:ext>
          </a:extLst>
        </xdr:cNvPr>
        <xdr:cNvSpPr>
          <a:spLocks noChangeAspect="1" noChangeArrowheads="1"/>
        </xdr:cNvSpPr>
      </xdr:nvSpPr>
      <xdr:spPr bwMode="auto">
        <a:xfrm>
          <a:off x="19573875" y="1544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0244" name="AutoShape 4" descr=" ">
          <a:extLst>
            <a:ext uri="{FF2B5EF4-FFF2-40B4-BE49-F238E27FC236}">
              <a16:creationId xmlns:a16="http://schemas.microsoft.com/office/drawing/2014/main" id="{31AF364E-7C74-6004-B8C3-68E0BC5737A8}"/>
            </a:ext>
          </a:extLst>
        </xdr:cNvPr>
        <xdr:cNvSpPr>
          <a:spLocks noChangeAspect="1" noChangeArrowheads="1"/>
        </xdr:cNvSpPr>
      </xdr:nvSpPr>
      <xdr:spPr bwMode="auto">
        <a:xfrm>
          <a:off x="195738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0248" name="AutoShape 8" descr=" ">
          <a:extLst>
            <a:ext uri="{FF2B5EF4-FFF2-40B4-BE49-F238E27FC236}">
              <a16:creationId xmlns:a16="http://schemas.microsoft.com/office/drawing/2014/main" id="{EC5AC93F-F81D-23D6-6378-1CBF553B1129}"/>
            </a:ext>
          </a:extLst>
        </xdr:cNvPr>
        <xdr:cNvSpPr>
          <a:spLocks noChangeAspect="1" noChangeArrowheads="1"/>
        </xdr:cNvSpPr>
      </xdr:nvSpPr>
      <xdr:spPr bwMode="auto">
        <a:xfrm>
          <a:off x="21402675" y="1334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0249" name="AutoShape 9" descr=":eyes~1:">
          <a:extLst>
            <a:ext uri="{FF2B5EF4-FFF2-40B4-BE49-F238E27FC236}">
              <a16:creationId xmlns:a16="http://schemas.microsoft.com/office/drawing/2014/main" id="{46DCFE32-7AE7-8EC6-44C4-3A6CEBD35FC6}"/>
            </a:ext>
          </a:extLst>
        </xdr:cNvPr>
        <xdr:cNvSpPr>
          <a:spLocks noChangeAspect="1" noChangeArrowheads="1"/>
        </xdr:cNvSpPr>
      </xdr:nvSpPr>
      <xdr:spPr bwMode="auto">
        <a:xfrm>
          <a:off x="21402675" y="1675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0250" name="AutoShape 10" descr="❤️‍🔥">
          <a:extLst>
            <a:ext uri="{FF2B5EF4-FFF2-40B4-BE49-F238E27FC236}">
              <a16:creationId xmlns:a16="http://schemas.microsoft.com/office/drawing/2014/main" id="{2E88E72D-111C-FC59-BAF6-C1CB0C1FAF90}"/>
            </a:ext>
          </a:extLst>
        </xdr:cNvPr>
        <xdr:cNvSpPr>
          <a:spLocks noChangeAspect="1" noChangeArrowheads="1"/>
        </xdr:cNvSpPr>
      </xdr:nvSpPr>
      <xdr:spPr bwMode="auto">
        <a:xfrm>
          <a:off x="21402675" y="1884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0251" name="AutoShape 11" descr=" ">
          <a:extLst>
            <a:ext uri="{FF2B5EF4-FFF2-40B4-BE49-F238E27FC236}">
              <a16:creationId xmlns:a16="http://schemas.microsoft.com/office/drawing/2014/main" id="{52585D86-B003-0660-50D7-DCD18D4658A0}"/>
            </a:ext>
          </a:extLst>
        </xdr:cNvPr>
        <xdr:cNvSpPr>
          <a:spLocks noChangeAspect="1" noChangeArrowheads="1"/>
        </xdr:cNvSpPr>
      </xdr:nvSpPr>
      <xdr:spPr bwMode="auto">
        <a:xfrm>
          <a:off x="21402675" y="2325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0254" name="AutoShape 14" descr="❤️‍🔥">
          <a:extLst>
            <a:ext uri="{FF2B5EF4-FFF2-40B4-BE49-F238E27FC236}">
              <a16:creationId xmlns:a16="http://schemas.microsoft.com/office/drawing/2014/main" id="{6E466405-7D9B-D780-2C51-8AC55FA922B6}"/>
            </a:ext>
          </a:extLst>
        </xdr:cNvPr>
        <xdr:cNvSpPr>
          <a:spLocks noChangeAspect="1" noChangeArrowheads="1"/>
        </xdr:cNvSpPr>
      </xdr:nvSpPr>
      <xdr:spPr bwMode="auto">
        <a:xfrm>
          <a:off x="21402675" y="26984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1265" name="AutoShape 1" descr=" ">
          <a:extLst>
            <a:ext uri="{FF2B5EF4-FFF2-40B4-BE49-F238E27FC236}">
              <a16:creationId xmlns:a16="http://schemas.microsoft.com/office/drawing/2014/main" id="{B6328D0B-A066-F779-6B0F-6C388B215A5D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1266" name="AutoShape 2" descr=":eyes~1:">
          <a:extLst>
            <a:ext uri="{FF2B5EF4-FFF2-40B4-BE49-F238E27FC236}">
              <a16:creationId xmlns:a16="http://schemas.microsoft.com/office/drawing/2014/main" id="{8123ACC5-CCB8-57F5-1F3E-A7EE65B2AE87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1267" name="AutoShape 3" descr="❤️‍🔥">
          <a:extLst>
            <a:ext uri="{FF2B5EF4-FFF2-40B4-BE49-F238E27FC236}">
              <a16:creationId xmlns:a16="http://schemas.microsoft.com/office/drawing/2014/main" id="{8CD4F15B-BE03-0D53-718B-620E4898DD2B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1268" name="AutoShape 4" descr=" ">
          <a:extLst>
            <a:ext uri="{FF2B5EF4-FFF2-40B4-BE49-F238E27FC236}">
              <a16:creationId xmlns:a16="http://schemas.microsoft.com/office/drawing/2014/main" id="{07237FBD-4404-4E92-B673-6BFF5B09F44F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1272" name="AutoShape 8" descr=" ">
          <a:extLst>
            <a:ext uri="{FF2B5EF4-FFF2-40B4-BE49-F238E27FC236}">
              <a16:creationId xmlns:a16="http://schemas.microsoft.com/office/drawing/2014/main" id="{0EB7888B-D45D-91ED-99BF-9E15490D4083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1273" name="AutoShape 9" descr=":eyes~1:">
          <a:extLst>
            <a:ext uri="{FF2B5EF4-FFF2-40B4-BE49-F238E27FC236}">
              <a16:creationId xmlns:a16="http://schemas.microsoft.com/office/drawing/2014/main" id="{0FB4E378-B4FA-7744-0900-E9E1E87BD2AB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1274" name="AutoShape 10" descr="❤️‍🔥">
          <a:extLst>
            <a:ext uri="{FF2B5EF4-FFF2-40B4-BE49-F238E27FC236}">
              <a16:creationId xmlns:a16="http://schemas.microsoft.com/office/drawing/2014/main" id="{39207CD8-D354-4398-4179-CAE4348CAA34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1275" name="AutoShape 11" descr=" ">
          <a:extLst>
            <a:ext uri="{FF2B5EF4-FFF2-40B4-BE49-F238E27FC236}">
              <a16:creationId xmlns:a16="http://schemas.microsoft.com/office/drawing/2014/main" id="{FA60D478-8F0A-80D9-5D35-1A2B30B18210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</xdr:colOff>
      <xdr:row>0</xdr:row>
      <xdr:rowOff>9525</xdr:rowOff>
    </xdr:from>
    <xdr:to>
      <xdr:col>10</xdr:col>
      <xdr:colOff>723900</xdr:colOff>
      <xdr:row>3</xdr:row>
      <xdr:rowOff>495300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7C22BB-F647-4605-B9BA-8B769AD50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9525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2289" name="AutoShape 1" descr=" ">
          <a:extLst>
            <a:ext uri="{FF2B5EF4-FFF2-40B4-BE49-F238E27FC236}">
              <a16:creationId xmlns:a16="http://schemas.microsoft.com/office/drawing/2014/main" id="{09105721-1E6B-29F9-0969-EBC52128AC2E}"/>
            </a:ext>
          </a:extLst>
        </xdr:cNvPr>
        <xdr:cNvSpPr>
          <a:spLocks noChangeAspect="1" noChangeArrowheads="1"/>
        </xdr:cNvSpPr>
      </xdr:nvSpPr>
      <xdr:spPr bwMode="auto">
        <a:xfrm>
          <a:off x="18421350" y="1184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2290" name="AutoShape 2" descr=":eyes~1:">
          <a:extLst>
            <a:ext uri="{FF2B5EF4-FFF2-40B4-BE49-F238E27FC236}">
              <a16:creationId xmlns:a16="http://schemas.microsoft.com/office/drawing/2014/main" id="{DA4B72D7-89C8-0DDE-133E-523451B445F8}"/>
            </a:ext>
          </a:extLst>
        </xdr:cNvPr>
        <xdr:cNvSpPr>
          <a:spLocks noChangeAspect="1" noChangeArrowheads="1"/>
        </xdr:cNvSpPr>
      </xdr:nvSpPr>
      <xdr:spPr bwMode="auto">
        <a:xfrm>
          <a:off x="18421350" y="1335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2291" name="AutoShape 3" descr="❤️‍🔥">
          <a:extLst>
            <a:ext uri="{FF2B5EF4-FFF2-40B4-BE49-F238E27FC236}">
              <a16:creationId xmlns:a16="http://schemas.microsoft.com/office/drawing/2014/main" id="{5517E0CD-4631-E456-5779-16D2373DA2AD}"/>
            </a:ext>
          </a:extLst>
        </xdr:cNvPr>
        <xdr:cNvSpPr>
          <a:spLocks noChangeAspect="1" noChangeArrowheads="1"/>
        </xdr:cNvSpPr>
      </xdr:nvSpPr>
      <xdr:spPr bwMode="auto">
        <a:xfrm>
          <a:off x="18421350" y="15449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2292" name="AutoShape 4" descr=" ">
          <a:extLst>
            <a:ext uri="{FF2B5EF4-FFF2-40B4-BE49-F238E27FC236}">
              <a16:creationId xmlns:a16="http://schemas.microsoft.com/office/drawing/2014/main" id="{BD49A4C6-A9B1-1898-EC30-E2294906A8C5}"/>
            </a:ext>
          </a:extLst>
        </xdr:cNvPr>
        <xdr:cNvSpPr>
          <a:spLocks noChangeAspect="1" noChangeArrowheads="1"/>
        </xdr:cNvSpPr>
      </xdr:nvSpPr>
      <xdr:spPr bwMode="auto">
        <a:xfrm>
          <a:off x="18421350" y="1887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2296" name="AutoShape 8" descr=" ">
          <a:extLst>
            <a:ext uri="{FF2B5EF4-FFF2-40B4-BE49-F238E27FC236}">
              <a16:creationId xmlns:a16="http://schemas.microsoft.com/office/drawing/2014/main" id="{2C4E40AD-0D75-B021-917E-C6B06F654AE2}"/>
            </a:ext>
          </a:extLst>
        </xdr:cNvPr>
        <xdr:cNvSpPr>
          <a:spLocks noChangeAspect="1" noChangeArrowheads="1"/>
        </xdr:cNvSpPr>
      </xdr:nvSpPr>
      <xdr:spPr bwMode="auto">
        <a:xfrm>
          <a:off x="20250150" y="1335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2297" name="AutoShape 9" descr=":eyes~1:">
          <a:extLst>
            <a:ext uri="{FF2B5EF4-FFF2-40B4-BE49-F238E27FC236}">
              <a16:creationId xmlns:a16="http://schemas.microsoft.com/office/drawing/2014/main" id="{4A685564-1D04-A976-A587-5CC98855559E}"/>
            </a:ext>
          </a:extLst>
        </xdr:cNvPr>
        <xdr:cNvSpPr>
          <a:spLocks noChangeAspect="1" noChangeArrowheads="1"/>
        </xdr:cNvSpPr>
      </xdr:nvSpPr>
      <xdr:spPr bwMode="auto">
        <a:xfrm>
          <a:off x="20250150" y="1676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2298" name="AutoShape 10" descr="❤️‍🔥">
          <a:extLst>
            <a:ext uri="{FF2B5EF4-FFF2-40B4-BE49-F238E27FC236}">
              <a16:creationId xmlns:a16="http://schemas.microsoft.com/office/drawing/2014/main" id="{831E948A-C48F-1FEC-9C25-0E574338AFCB}"/>
            </a:ext>
          </a:extLst>
        </xdr:cNvPr>
        <xdr:cNvSpPr>
          <a:spLocks noChangeAspect="1" noChangeArrowheads="1"/>
        </xdr:cNvSpPr>
      </xdr:nvSpPr>
      <xdr:spPr bwMode="auto">
        <a:xfrm>
          <a:off x="20250150" y="1885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2299" name="AutoShape 11" descr=" ">
          <a:extLst>
            <a:ext uri="{FF2B5EF4-FFF2-40B4-BE49-F238E27FC236}">
              <a16:creationId xmlns:a16="http://schemas.microsoft.com/office/drawing/2014/main" id="{303D9FE6-D5B2-D2A9-B203-A14E0EF3B237}"/>
            </a:ext>
          </a:extLst>
        </xdr:cNvPr>
        <xdr:cNvSpPr>
          <a:spLocks noChangeAspect="1" noChangeArrowheads="1"/>
        </xdr:cNvSpPr>
      </xdr:nvSpPr>
      <xdr:spPr bwMode="auto">
        <a:xfrm>
          <a:off x="20250150" y="23260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2302" name="AutoShape 14" descr="❤️‍🔥">
          <a:extLst>
            <a:ext uri="{FF2B5EF4-FFF2-40B4-BE49-F238E27FC236}">
              <a16:creationId xmlns:a16="http://schemas.microsoft.com/office/drawing/2014/main" id="{A06A969F-7AC8-AF21-7E95-3E5996F5DE0A}"/>
            </a:ext>
          </a:extLst>
        </xdr:cNvPr>
        <xdr:cNvSpPr>
          <a:spLocks noChangeAspect="1" noChangeArrowheads="1"/>
        </xdr:cNvSpPr>
      </xdr:nvSpPr>
      <xdr:spPr bwMode="auto">
        <a:xfrm>
          <a:off x="20250150" y="2699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3313" name="AutoShape 1" descr=" ">
          <a:extLst>
            <a:ext uri="{FF2B5EF4-FFF2-40B4-BE49-F238E27FC236}">
              <a16:creationId xmlns:a16="http://schemas.microsoft.com/office/drawing/2014/main" id="{5C39FF52-94DB-079F-18F0-FAF1ED7B6D64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3314" name="AutoShape 2" descr=":eyes~1:">
          <a:extLst>
            <a:ext uri="{FF2B5EF4-FFF2-40B4-BE49-F238E27FC236}">
              <a16:creationId xmlns:a16="http://schemas.microsoft.com/office/drawing/2014/main" id="{0384FAE3-536C-7831-BF56-77E7A01105A7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3315" name="AutoShape 3" descr="❤️‍🔥">
          <a:extLst>
            <a:ext uri="{FF2B5EF4-FFF2-40B4-BE49-F238E27FC236}">
              <a16:creationId xmlns:a16="http://schemas.microsoft.com/office/drawing/2014/main" id="{C3B174E1-D944-9FB6-34DF-A63B4C7AB8A9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3316" name="AutoShape 4" descr=" ">
          <a:extLst>
            <a:ext uri="{FF2B5EF4-FFF2-40B4-BE49-F238E27FC236}">
              <a16:creationId xmlns:a16="http://schemas.microsoft.com/office/drawing/2014/main" id="{C814552F-4331-EDCD-6B9D-D50F484ED8DD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3319" name="AutoShape 7" descr="❤️‍🔥">
          <a:extLst>
            <a:ext uri="{FF2B5EF4-FFF2-40B4-BE49-F238E27FC236}">
              <a16:creationId xmlns:a16="http://schemas.microsoft.com/office/drawing/2014/main" id="{A475B682-F48D-1051-6EE5-AF90A5E4AE15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2072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3320" name="AutoShape 8" descr=" ">
          <a:extLst>
            <a:ext uri="{FF2B5EF4-FFF2-40B4-BE49-F238E27FC236}">
              <a16:creationId xmlns:a16="http://schemas.microsoft.com/office/drawing/2014/main" id="{4B75BEA9-2929-2C4D-12B4-969AEE8776DF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3321" name="AutoShape 9" descr=":eyes~1:">
          <a:extLst>
            <a:ext uri="{FF2B5EF4-FFF2-40B4-BE49-F238E27FC236}">
              <a16:creationId xmlns:a16="http://schemas.microsoft.com/office/drawing/2014/main" id="{EF38F5B6-9AE3-B689-783F-5699EF2D739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3322" name="AutoShape 10" descr="❤️‍🔥">
          <a:extLst>
            <a:ext uri="{FF2B5EF4-FFF2-40B4-BE49-F238E27FC236}">
              <a16:creationId xmlns:a16="http://schemas.microsoft.com/office/drawing/2014/main" id="{F109FA8A-279C-28A9-6A31-0405BB44C9A9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3323" name="AutoShape 11" descr=" ">
          <a:extLst>
            <a:ext uri="{FF2B5EF4-FFF2-40B4-BE49-F238E27FC236}">
              <a16:creationId xmlns:a16="http://schemas.microsoft.com/office/drawing/2014/main" id="{F33943DB-89BE-D8CB-D8E5-B5B148E04DF3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</xdr:colOff>
      <xdr:row>0</xdr:row>
      <xdr:rowOff>38100</xdr:rowOff>
    </xdr:from>
    <xdr:to>
      <xdr:col>10</xdr:col>
      <xdr:colOff>790575</xdr:colOff>
      <xdr:row>3</xdr:row>
      <xdr:rowOff>419100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766DEE-2B30-428C-9401-42040FACB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7050" y="381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6385" name="AutoShape 1" descr=" ">
          <a:extLst>
            <a:ext uri="{FF2B5EF4-FFF2-40B4-BE49-F238E27FC236}">
              <a16:creationId xmlns:a16="http://schemas.microsoft.com/office/drawing/2014/main" id="{7A5526AE-6DD0-F9DE-B2FA-A9FD24BF7E88}"/>
            </a:ext>
          </a:extLst>
        </xdr:cNvPr>
        <xdr:cNvSpPr>
          <a:spLocks noChangeAspect="1" noChangeArrowheads="1"/>
        </xdr:cNvSpPr>
      </xdr:nvSpPr>
      <xdr:spPr bwMode="auto">
        <a:xfrm>
          <a:off x="18802350" y="12134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6386" name="AutoShape 2" descr=":eyes~1:">
          <a:extLst>
            <a:ext uri="{FF2B5EF4-FFF2-40B4-BE49-F238E27FC236}">
              <a16:creationId xmlns:a16="http://schemas.microsoft.com/office/drawing/2014/main" id="{2DCF6A93-5993-ED04-8D75-741A23634BF9}"/>
            </a:ext>
          </a:extLst>
        </xdr:cNvPr>
        <xdr:cNvSpPr>
          <a:spLocks noChangeAspect="1" noChangeArrowheads="1"/>
        </xdr:cNvSpPr>
      </xdr:nvSpPr>
      <xdr:spPr bwMode="auto">
        <a:xfrm>
          <a:off x="18802350" y="1363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6387" name="AutoShape 3" descr="❤️‍🔥">
          <a:extLst>
            <a:ext uri="{FF2B5EF4-FFF2-40B4-BE49-F238E27FC236}">
              <a16:creationId xmlns:a16="http://schemas.microsoft.com/office/drawing/2014/main" id="{D237E070-7428-65B2-D6BD-5ACEB14EA2E4}"/>
            </a:ext>
          </a:extLst>
        </xdr:cNvPr>
        <xdr:cNvSpPr>
          <a:spLocks noChangeAspect="1" noChangeArrowheads="1"/>
        </xdr:cNvSpPr>
      </xdr:nvSpPr>
      <xdr:spPr bwMode="auto">
        <a:xfrm>
          <a:off x="18802350" y="1573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6388" name="AutoShape 4" descr=" ">
          <a:extLst>
            <a:ext uri="{FF2B5EF4-FFF2-40B4-BE49-F238E27FC236}">
              <a16:creationId xmlns:a16="http://schemas.microsoft.com/office/drawing/2014/main" id="{96406868-F872-43AE-D784-448851ADD5ED}"/>
            </a:ext>
          </a:extLst>
        </xdr:cNvPr>
        <xdr:cNvSpPr>
          <a:spLocks noChangeAspect="1" noChangeArrowheads="1"/>
        </xdr:cNvSpPr>
      </xdr:nvSpPr>
      <xdr:spPr bwMode="auto">
        <a:xfrm>
          <a:off x="18802350" y="1916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6391" name="AutoShape 7" descr="❤️‍🔥">
          <a:extLst>
            <a:ext uri="{FF2B5EF4-FFF2-40B4-BE49-F238E27FC236}">
              <a16:creationId xmlns:a16="http://schemas.microsoft.com/office/drawing/2014/main" id="{4529D862-9B14-DFB9-4F0C-C9CDEF371D9F}"/>
            </a:ext>
          </a:extLst>
        </xdr:cNvPr>
        <xdr:cNvSpPr>
          <a:spLocks noChangeAspect="1" noChangeArrowheads="1"/>
        </xdr:cNvSpPr>
      </xdr:nvSpPr>
      <xdr:spPr bwMode="auto">
        <a:xfrm>
          <a:off x="18802350" y="21621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6392" name="AutoShape 8" descr=" ">
          <a:extLst>
            <a:ext uri="{FF2B5EF4-FFF2-40B4-BE49-F238E27FC236}">
              <a16:creationId xmlns:a16="http://schemas.microsoft.com/office/drawing/2014/main" id="{A7EF9B92-BA73-6BD9-DA50-CC39CE5C6A5D}"/>
            </a:ext>
          </a:extLst>
        </xdr:cNvPr>
        <xdr:cNvSpPr>
          <a:spLocks noChangeAspect="1" noChangeArrowheads="1"/>
        </xdr:cNvSpPr>
      </xdr:nvSpPr>
      <xdr:spPr bwMode="auto">
        <a:xfrm>
          <a:off x="20631150" y="13639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6393" name="AutoShape 9" descr=":eyes~1:">
          <a:extLst>
            <a:ext uri="{FF2B5EF4-FFF2-40B4-BE49-F238E27FC236}">
              <a16:creationId xmlns:a16="http://schemas.microsoft.com/office/drawing/2014/main" id="{36F7B935-D083-0891-F532-43512B16140C}"/>
            </a:ext>
          </a:extLst>
        </xdr:cNvPr>
        <xdr:cNvSpPr>
          <a:spLocks noChangeAspect="1" noChangeArrowheads="1"/>
        </xdr:cNvSpPr>
      </xdr:nvSpPr>
      <xdr:spPr bwMode="auto">
        <a:xfrm>
          <a:off x="20631150" y="17049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6394" name="AutoShape 10" descr="❤️‍🔥">
          <a:extLst>
            <a:ext uri="{FF2B5EF4-FFF2-40B4-BE49-F238E27FC236}">
              <a16:creationId xmlns:a16="http://schemas.microsoft.com/office/drawing/2014/main" id="{F96A9978-697B-6911-2C78-89C21FE75DB4}"/>
            </a:ext>
          </a:extLst>
        </xdr:cNvPr>
        <xdr:cNvSpPr>
          <a:spLocks noChangeAspect="1" noChangeArrowheads="1"/>
        </xdr:cNvSpPr>
      </xdr:nvSpPr>
      <xdr:spPr bwMode="auto">
        <a:xfrm>
          <a:off x="20631150" y="19145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6395" name="AutoShape 11" descr=" ">
          <a:extLst>
            <a:ext uri="{FF2B5EF4-FFF2-40B4-BE49-F238E27FC236}">
              <a16:creationId xmlns:a16="http://schemas.microsoft.com/office/drawing/2014/main" id="{676B9619-B8EA-DDE1-7B38-6BE55A121280}"/>
            </a:ext>
          </a:extLst>
        </xdr:cNvPr>
        <xdr:cNvSpPr>
          <a:spLocks noChangeAspect="1" noChangeArrowheads="1"/>
        </xdr:cNvSpPr>
      </xdr:nvSpPr>
      <xdr:spPr bwMode="auto">
        <a:xfrm>
          <a:off x="20631150" y="23545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6398" name="AutoShape 14" descr="❤️‍🔥">
          <a:extLst>
            <a:ext uri="{FF2B5EF4-FFF2-40B4-BE49-F238E27FC236}">
              <a16:creationId xmlns:a16="http://schemas.microsoft.com/office/drawing/2014/main" id="{DA2B3D19-C471-39CF-E421-90F6F848E1DE}"/>
            </a:ext>
          </a:extLst>
        </xdr:cNvPr>
        <xdr:cNvSpPr>
          <a:spLocks noChangeAspect="1" noChangeArrowheads="1"/>
        </xdr:cNvSpPr>
      </xdr:nvSpPr>
      <xdr:spPr bwMode="auto">
        <a:xfrm>
          <a:off x="20631150" y="2727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7409" name="AutoShape 1" descr=" ">
          <a:extLst>
            <a:ext uri="{FF2B5EF4-FFF2-40B4-BE49-F238E27FC236}">
              <a16:creationId xmlns:a16="http://schemas.microsoft.com/office/drawing/2014/main" id="{81A719BF-A06A-3DC9-87D9-CC97BD062E56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7410" name="AutoShape 2" descr=":eyes~1:">
          <a:extLst>
            <a:ext uri="{FF2B5EF4-FFF2-40B4-BE49-F238E27FC236}">
              <a16:creationId xmlns:a16="http://schemas.microsoft.com/office/drawing/2014/main" id="{E4C14646-611C-50C9-F860-8F66C48F2F57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7411" name="AutoShape 3" descr="❤️‍🔥">
          <a:extLst>
            <a:ext uri="{FF2B5EF4-FFF2-40B4-BE49-F238E27FC236}">
              <a16:creationId xmlns:a16="http://schemas.microsoft.com/office/drawing/2014/main" id="{CE122C86-E363-E3CF-D16D-A60B5A711B77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7412" name="AutoShape 4" descr=" ">
          <a:extLst>
            <a:ext uri="{FF2B5EF4-FFF2-40B4-BE49-F238E27FC236}">
              <a16:creationId xmlns:a16="http://schemas.microsoft.com/office/drawing/2014/main" id="{5D58E6E5-A991-303F-1117-8B4749E79AE6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27</xdr:col>
      <xdr:colOff>209550</xdr:colOff>
      <xdr:row>65</xdr:row>
      <xdr:rowOff>161925</xdr:rowOff>
    </xdr:from>
    <xdr:to>
      <xdr:col>27</xdr:col>
      <xdr:colOff>514350</xdr:colOff>
      <xdr:row>67</xdr:row>
      <xdr:rowOff>85725</xdr:rowOff>
    </xdr:to>
    <xdr:sp macro="" textlink="">
      <xdr:nvSpPr>
        <xdr:cNvPr id="17415" name="AutoShape 7" descr="❤️‍🔥">
          <a:extLst>
            <a:ext uri="{FF2B5EF4-FFF2-40B4-BE49-F238E27FC236}">
              <a16:creationId xmlns:a16="http://schemas.microsoft.com/office/drawing/2014/main" id="{7F78C36A-6FD9-5063-3133-62A70CB5E467}"/>
            </a:ext>
          </a:extLst>
        </xdr:cNvPr>
        <xdr:cNvSpPr>
          <a:spLocks noChangeAspect="1" noChangeArrowheads="1"/>
        </xdr:cNvSpPr>
      </xdr:nvSpPr>
      <xdr:spPr bwMode="auto">
        <a:xfrm>
          <a:off x="16668750" y="12544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7416" name="AutoShape 8" descr=" ">
          <a:extLst>
            <a:ext uri="{FF2B5EF4-FFF2-40B4-BE49-F238E27FC236}">
              <a16:creationId xmlns:a16="http://schemas.microsoft.com/office/drawing/2014/main" id="{FD2D87FC-898C-0660-570B-A5EFE2A6A7DC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7417" name="AutoShape 9" descr=":eyes~1:">
          <a:extLst>
            <a:ext uri="{FF2B5EF4-FFF2-40B4-BE49-F238E27FC236}">
              <a16:creationId xmlns:a16="http://schemas.microsoft.com/office/drawing/2014/main" id="{B25E1C67-5C75-A03D-F7A7-DDE17B1BB79D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7418" name="AutoShape 10" descr="❤️‍🔥">
          <a:extLst>
            <a:ext uri="{FF2B5EF4-FFF2-40B4-BE49-F238E27FC236}">
              <a16:creationId xmlns:a16="http://schemas.microsoft.com/office/drawing/2014/main" id="{EFE6EB45-5133-1320-C9E3-B7ED18CAF274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7419" name="AutoShape 11" descr=" ">
          <a:extLst>
            <a:ext uri="{FF2B5EF4-FFF2-40B4-BE49-F238E27FC236}">
              <a16:creationId xmlns:a16="http://schemas.microsoft.com/office/drawing/2014/main" id="{1E7F7D9E-F1C5-AF86-B9B3-87E9D0610A85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0</xdr:row>
      <xdr:rowOff>19050</xdr:rowOff>
    </xdr:from>
    <xdr:to>
      <xdr:col>9</xdr:col>
      <xdr:colOff>1409700</xdr:colOff>
      <xdr:row>3</xdr:row>
      <xdr:rowOff>400050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644B4B-00BC-491E-B006-DCEFDD29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905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295275</xdr:colOff>
      <xdr:row>65</xdr:row>
      <xdr:rowOff>0</xdr:rowOff>
    </xdr:from>
    <xdr:to>
      <xdr:col>27</xdr:col>
      <xdr:colOff>9525</xdr:colOff>
      <xdr:row>66</xdr:row>
      <xdr:rowOff>114300</xdr:rowOff>
    </xdr:to>
    <xdr:sp macro="" textlink="">
      <xdr:nvSpPr>
        <xdr:cNvPr id="18433" name="AutoShape 1" descr=" ">
          <a:extLst>
            <a:ext uri="{FF2B5EF4-FFF2-40B4-BE49-F238E27FC236}">
              <a16:creationId xmlns:a16="http://schemas.microsoft.com/office/drawing/2014/main" id="{57B6932D-7805-5F43-DB09-0376EABFC6A0}"/>
            </a:ext>
          </a:extLst>
        </xdr:cNvPr>
        <xdr:cNvSpPr>
          <a:spLocks noChangeAspect="1" noChangeArrowheads="1"/>
        </xdr:cNvSpPr>
      </xdr:nvSpPr>
      <xdr:spPr bwMode="auto">
        <a:xfrm>
          <a:off x="23850600" y="1322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8434" name="AutoShape 2" descr=":eyes~1:">
          <a:extLst>
            <a:ext uri="{FF2B5EF4-FFF2-40B4-BE49-F238E27FC236}">
              <a16:creationId xmlns:a16="http://schemas.microsoft.com/office/drawing/2014/main" id="{FFF69E01-4E83-310E-EB29-9BCE1136880B}"/>
            </a:ext>
          </a:extLst>
        </xdr:cNvPr>
        <xdr:cNvSpPr>
          <a:spLocks noChangeAspect="1" noChangeArrowheads="1"/>
        </xdr:cNvSpPr>
      </xdr:nvSpPr>
      <xdr:spPr bwMode="auto">
        <a:xfrm>
          <a:off x="20602575" y="1373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8435" name="AutoShape 3" descr="❤️‍🔥">
          <a:extLst>
            <a:ext uri="{FF2B5EF4-FFF2-40B4-BE49-F238E27FC236}">
              <a16:creationId xmlns:a16="http://schemas.microsoft.com/office/drawing/2014/main" id="{D1CF2DD3-232D-9332-597C-35FF0B2A1A08}"/>
            </a:ext>
          </a:extLst>
        </xdr:cNvPr>
        <xdr:cNvSpPr>
          <a:spLocks noChangeAspect="1" noChangeArrowheads="1"/>
        </xdr:cNvSpPr>
      </xdr:nvSpPr>
      <xdr:spPr bwMode="auto">
        <a:xfrm>
          <a:off x="20602575" y="15830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8436" name="AutoShape 4" descr=" ">
          <a:extLst>
            <a:ext uri="{FF2B5EF4-FFF2-40B4-BE49-F238E27FC236}">
              <a16:creationId xmlns:a16="http://schemas.microsoft.com/office/drawing/2014/main" id="{07068DF9-85B9-366A-BFCF-213F55B898A4}"/>
            </a:ext>
          </a:extLst>
        </xdr:cNvPr>
        <xdr:cNvSpPr>
          <a:spLocks noChangeAspect="1" noChangeArrowheads="1"/>
        </xdr:cNvSpPr>
      </xdr:nvSpPr>
      <xdr:spPr bwMode="auto">
        <a:xfrm>
          <a:off x="20602575" y="19259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8440" name="AutoShape 8" descr=" ">
          <a:extLst>
            <a:ext uri="{FF2B5EF4-FFF2-40B4-BE49-F238E27FC236}">
              <a16:creationId xmlns:a16="http://schemas.microsoft.com/office/drawing/2014/main" id="{33F04EE6-07FA-C49F-B14A-9713F3F95CDD}"/>
            </a:ext>
          </a:extLst>
        </xdr:cNvPr>
        <xdr:cNvSpPr>
          <a:spLocks noChangeAspect="1" noChangeArrowheads="1"/>
        </xdr:cNvSpPr>
      </xdr:nvSpPr>
      <xdr:spPr bwMode="auto">
        <a:xfrm>
          <a:off x="22374225" y="13735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8441" name="AutoShape 9" descr=":eyes~1:">
          <a:extLst>
            <a:ext uri="{FF2B5EF4-FFF2-40B4-BE49-F238E27FC236}">
              <a16:creationId xmlns:a16="http://schemas.microsoft.com/office/drawing/2014/main" id="{E220AC6A-3667-8821-9E60-7F3B8A52F522}"/>
            </a:ext>
          </a:extLst>
        </xdr:cNvPr>
        <xdr:cNvSpPr>
          <a:spLocks noChangeAspect="1" noChangeArrowheads="1"/>
        </xdr:cNvSpPr>
      </xdr:nvSpPr>
      <xdr:spPr bwMode="auto">
        <a:xfrm>
          <a:off x="22374225" y="17297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8442" name="AutoShape 10" descr="❤️‍🔥">
          <a:extLst>
            <a:ext uri="{FF2B5EF4-FFF2-40B4-BE49-F238E27FC236}">
              <a16:creationId xmlns:a16="http://schemas.microsoft.com/office/drawing/2014/main" id="{1BE82BB5-BE68-3EEA-F88B-32D060195B98}"/>
            </a:ext>
          </a:extLst>
        </xdr:cNvPr>
        <xdr:cNvSpPr>
          <a:spLocks noChangeAspect="1" noChangeArrowheads="1"/>
        </xdr:cNvSpPr>
      </xdr:nvSpPr>
      <xdr:spPr bwMode="auto">
        <a:xfrm>
          <a:off x="22374225" y="1939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8443" name="AutoShape 11" descr=" ">
          <a:extLst>
            <a:ext uri="{FF2B5EF4-FFF2-40B4-BE49-F238E27FC236}">
              <a16:creationId xmlns:a16="http://schemas.microsoft.com/office/drawing/2014/main" id="{4A9DEFF5-3E1A-BA89-8467-45060BE8B556}"/>
            </a:ext>
          </a:extLst>
        </xdr:cNvPr>
        <xdr:cNvSpPr>
          <a:spLocks noChangeAspect="1" noChangeArrowheads="1"/>
        </xdr:cNvSpPr>
      </xdr:nvSpPr>
      <xdr:spPr bwMode="auto">
        <a:xfrm>
          <a:off x="22374225" y="2379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19457" name="AutoShape 1" descr=" ">
          <a:extLst>
            <a:ext uri="{FF2B5EF4-FFF2-40B4-BE49-F238E27FC236}">
              <a16:creationId xmlns:a16="http://schemas.microsoft.com/office/drawing/2014/main" id="{2EF2D556-F164-CC18-E04D-E742E5F6FF04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9458" name="AutoShape 2" descr=":eyes~1:">
          <a:extLst>
            <a:ext uri="{FF2B5EF4-FFF2-40B4-BE49-F238E27FC236}">
              <a16:creationId xmlns:a16="http://schemas.microsoft.com/office/drawing/2014/main" id="{1AB0BA6E-AEFB-D016-3E14-3F79BFF33E6A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9459" name="AutoShape 3" descr="❤️‍🔥">
          <a:extLst>
            <a:ext uri="{FF2B5EF4-FFF2-40B4-BE49-F238E27FC236}">
              <a16:creationId xmlns:a16="http://schemas.microsoft.com/office/drawing/2014/main" id="{F7F325D8-9715-C6C4-938F-0797DFFECE15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9460" name="AutoShape 4" descr=" ">
          <a:extLst>
            <a:ext uri="{FF2B5EF4-FFF2-40B4-BE49-F238E27FC236}">
              <a16:creationId xmlns:a16="http://schemas.microsoft.com/office/drawing/2014/main" id="{A6270482-66F6-F441-98D6-97F54A5E47EF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19463" name="AutoShape 7" descr="❤️‍🔥">
          <a:extLst>
            <a:ext uri="{FF2B5EF4-FFF2-40B4-BE49-F238E27FC236}">
              <a16:creationId xmlns:a16="http://schemas.microsoft.com/office/drawing/2014/main" id="{25A0F8E9-1717-57F6-6E54-476C1D33BEAE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2072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9464" name="AutoShape 8" descr=" ">
          <a:extLst>
            <a:ext uri="{FF2B5EF4-FFF2-40B4-BE49-F238E27FC236}">
              <a16:creationId xmlns:a16="http://schemas.microsoft.com/office/drawing/2014/main" id="{58802090-D498-6E9B-C00A-B04913EB5E4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9465" name="AutoShape 9" descr=":eyes~1:">
          <a:extLst>
            <a:ext uri="{FF2B5EF4-FFF2-40B4-BE49-F238E27FC236}">
              <a16:creationId xmlns:a16="http://schemas.microsoft.com/office/drawing/2014/main" id="{D7B9C25E-59A2-B9BF-007C-19639EDB2D36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9466" name="AutoShape 10" descr="❤️‍🔥">
          <a:extLst>
            <a:ext uri="{FF2B5EF4-FFF2-40B4-BE49-F238E27FC236}">
              <a16:creationId xmlns:a16="http://schemas.microsoft.com/office/drawing/2014/main" id="{C769F156-EB25-12D6-40E4-28E5FFB1C7A1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9467" name="AutoShape 11" descr=" ">
          <a:extLst>
            <a:ext uri="{FF2B5EF4-FFF2-40B4-BE49-F238E27FC236}">
              <a16:creationId xmlns:a16="http://schemas.microsoft.com/office/drawing/2014/main" id="{CC1B2446-F30D-2E94-A71A-8DDFC7E56EFB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19470" name="AutoShape 14" descr="❤️‍🔥">
          <a:extLst>
            <a:ext uri="{FF2B5EF4-FFF2-40B4-BE49-F238E27FC236}">
              <a16:creationId xmlns:a16="http://schemas.microsoft.com/office/drawing/2014/main" id="{B98D3647-B255-1480-BCAB-2A65DB3E344D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0</xdr:row>
      <xdr:rowOff>38100</xdr:rowOff>
    </xdr:from>
    <xdr:to>
      <xdr:col>10</xdr:col>
      <xdr:colOff>819150</xdr:colOff>
      <xdr:row>3</xdr:row>
      <xdr:rowOff>419100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2FB56A-E9FC-443C-B397-6DA4797E9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06075" y="381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20481" name="AutoShape 1" descr=" ">
          <a:extLst>
            <a:ext uri="{FF2B5EF4-FFF2-40B4-BE49-F238E27FC236}">
              <a16:creationId xmlns:a16="http://schemas.microsoft.com/office/drawing/2014/main" id="{5D935394-8F04-E239-4A2F-5E4C729141D1}"/>
            </a:ext>
          </a:extLst>
        </xdr:cNvPr>
        <xdr:cNvSpPr>
          <a:spLocks noChangeAspect="1" noChangeArrowheads="1"/>
        </xdr:cNvSpPr>
      </xdr:nvSpPr>
      <xdr:spPr bwMode="auto">
        <a:xfrm>
          <a:off x="18402300" y="12125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482" name="AutoShape 2" descr=":eyes~1:">
          <a:extLst>
            <a:ext uri="{FF2B5EF4-FFF2-40B4-BE49-F238E27FC236}">
              <a16:creationId xmlns:a16="http://schemas.microsoft.com/office/drawing/2014/main" id="{082C7B30-5427-84DE-34C7-4EE2361A9F41}"/>
            </a:ext>
          </a:extLst>
        </xdr:cNvPr>
        <xdr:cNvSpPr>
          <a:spLocks noChangeAspect="1" noChangeArrowheads="1"/>
        </xdr:cNvSpPr>
      </xdr:nvSpPr>
      <xdr:spPr bwMode="auto">
        <a:xfrm>
          <a:off x="18402300" y="13782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483" name="AutoShape 3" descr="❤️‍🔥">
          <a:extLst>
            <a:ext uri="{FF2B5EF4-FFF2-40B4-BE49-F238E27FC236}">
              <a16:creationId xmlns:a16="http://schemas.microsoft.com/office/drawing/2014/main" id="{A7EA7FC3-2571-B612-0603-B00BA571D17D}"/>
            </a:ext>
          </a:extLst>
        </xdr:cNvPr>
        <xdr:cNvSpPr>
          <a:spLocks noChangeAspect="1" noChangeArrowheads="1"/>
        </xdr:cNvSpPr>
      </xdr:nvSpPr>
      <xdr:spPr bwMode="auto">
        <a:xfrm>
          <a:off x="18402300" y="1587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484" name="AutoShape 4" descr=" ">
          <a:extLst>
            <a:ext uri="{FF2B5EF4-FFF2-40B4-BE49-F238E27FC236}">
              <a16:creationId xmlns:a16="http://schemas.microsoft.com/office/drawing/2014/main" id="{63522872-AE7C-DA25-2C85-F54B06CA569A}"/>
            </a:ext>
          </a:extLst>
        </xdr:cNvPr>
        <xdr:cNvSpPr>
          <a:spLocks noChangeAspect="1" noChangeArrowheads="1"/>
        </xdr:cNvSpPr>
      </xdr:nvSpPr>
      <xdr:spPr bwMode="auto">
        <a:xfrm>
          <a:off x="18402300" y="19307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487" name="AutoShape 7" descr="❤️‍🔥">
          <a:extLst>
            <a:ext uri="{FF2B5EF4-FFF2-40B4-BE49-F238E27FC236}">
              <a16:creationId xmlns:a16="http://schemas.microsoft.com/office/drawing/2014/main" id="{AD955413-E2B9-73F3-1BF4-01604BAAF951}"/>
            </a:ext>
          </a:extLst>
        </xdr:cNvPr>
        <xdr:cNvSpPr>
          <a:spLocks noChangeAspect="1" noChangeArrowheads="1"/>
        </xdr:cNvSpPr>
      </xdr:nvSpPr>
      <xdr:spPr bwMode="auto">
        <a:xfrm>
          <a:off x="18402300" y="2210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488" name="AutoShape 8" descr=" ">
          <a:extLst>
            <a:ext uri="{FF2B5EF4-FFF2-40B4-BE49-F238E27FC236}">
              <a16:creationId xmlns:a16="http://schemas.microsoft.com/office/drawing/2014/main" id="{FB9E2194-BAD1-B73B-EDEA-5CC33AF9A733}"/>
            </a:ext>
          </a:extLst>
        </xdr:cNvPr>
        <xdr:cNvSpPr>
          <a:spLocks noChangeAspect="1" noChangeArrowheads="1"/>
        </xdr:cNvSpPr>
      </xdr:nvSpPr>
      <xdr:spPr bwMode="auto">
        <a:xfrm>
          <a:off x="20173950" y="13782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489" name="AutoShape 9" descr=":eyes~1:">
          <a:extLst>
            <a:ext uri="{FF2B5EF4-FFF2-40B4-BE49-F238E27FC236}">
              <a16:creationId xmlns:a16="http://schemas.microsoft.com/office/drawing/2014/main" id="{660491C4-9A17-E2EC-BB41-8F2AC0D6B1DE}"/>
            </a:ext>
          </a:extLst>
        </xdr:cNvPr>
        <xdr:cNvSpPr>
          <a:spLocks noChangeAspect="1" noChangeArrowheads="1"/>
        </xdr:cNvSpPr>
      </xdr:nvSpPr>
      <xdr:spPr bwMode="auto">
        <a:xfrm>
          <a:off x="20173950" y="1734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490" name="AutoShape 10" descr="❤️‍🔥">
          <a:extLst>
            <a:ext uri="{FF2B5EF4-FFF2-40B4-BE49-F238E27FC236}">
              <a16:creationId xmlns:a16="http://schemas.microsoft.com/office/drawing/2014/main" id="{163A5A1A-4691-FF8D-FB40-884C8C564EDC}"/>
            </a:ext>
          </a:extLst>
        </xdr:cNvPr>
        <xdr:cNvSpPr>
          <a:spLocks noChangeAspect="1" noChangeArrowheads="1"/>
        </xdr:cNvSpPr>
      </xdr:nvSpPr>
      <xdr:spPr bwMode="auto">
        <a:xfrm>
          <a:off x="20173950" y="1944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491" name="AutoShape 11" descr=" ">
          <a:extLst>
            <a:ext uri="{FF2B5EF4-FFF2-40B4-BE49-F238E27FC236}">
              <a16:creationId xmlns:a16="http://schemas.microsoft.com/office/drawing/2014/main" id="{45070FEB-23EE-3BD7-1607-4E992356A888}"/>
            </a:ext>
          </a:extLst>
        </xdr:cNvPr>
        <xdr:cNvSpPr>
          <a:spLocks noChangeAspect="1" noChangeArrowheads="1"/>
        </xdr:cNvSpPr>
      </xdr:nvSpPr>
      <xdr:spPr bwMode="auto">
        <a:xfrm>
          <a:off x="20173950" y="2384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21505" name="AutoShape 1" descr=" ">
          <a:extLst>
            <a:ext uri="{FF2B5EF4-FFF2-40B4-BE49-F238E27FC236}">
              <a16:creationId xmlns:a16="http://schemas.microsoft.com/office/drawing/2014/main" id="{C818483E-677A-B80F-9EB2-492037628D2D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1506" name="AutoShape 2" descr=":eyes~1:">
          <a:extLst>
            <a:ext uri="{FF2B5EF4-FFF2-40B4-BE49-F238E27FC236}">
              <a16:creationId xmlns:a16="http://schemas.microsoft.com/office/drawing/2014/main" id="{548F180B-0494-19F5-2031-314C8412CC90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1507" name="AutoShape 3" descr="❤️‍🔥">
          <a:extLst>
            <a:ext uri="{FF2B5EF4-FFF2-40B4-BE49-F238E27FC236}">
              <a16:creationId xmlns:a16="http://schemas.microsoft.com/office/drawing/2014/main" id="{7D340791-6BE8-4491-8D4D-ACA7A8F5D69E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1508" name="AutoShape 4" descr=" ">
          <a:extLst>
            <a:ext uri="{FF2B5EF4-FFF2-40B4-BE49-F238E27FC236}">
              <a16:creationId xmlns:a16="http://schemas.microsoft.com/office/drawing/2014/main" id="{19E035BA-5F4F-F253-1670-B01319093CAF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1511" name="AutoShape 7" descr="❤️‍🔥">
          <a:extLst>
            <a:ext uri="{FF2B5EF4-FFF2-40B4-BE49-F238E27FC236}">
              <a16:creationId xmlns:a16="http://schemas.microsoft.com/office/drawing/2014/main" id="{E14675F2-52D7-6C71-4DD9-DC69BDD62888}"/>
            </a:ext>
          </a:extLst>
        </xdr:cNvPr>
        <xdr:cNvSpPr>
          <a:spLocks noChangeAspect="1" noChangeArrowheads="1"/>
        </xdr:cNvSpPr>
      </xdr:nvSpPr>
      <xdr:spPr bwMode="auto">
        <a:xfrm>
          <a:off x="12563475" y="2072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1512" name="AutoShape 8" descr=" ">
          <a:extLst>
            <a:ext uri="{FF2B5EF4-FFF2-40B4-BE49-F238E27FC236}">
              <a16:creationId xmlns:a16="http://schemas.microsoft.com/office/drawing/2014/main" id="{5ADDD68F-0531-9460-B2EC-9E7EB33DAC00}"/>
            </a:ext>
          </a:extLst>
        </xdr:cNvPr>
        <xdr:cNvSpPr>
          <a:spLocks noChangeAspect="1" noChangeArrowheads="1"/>
        </xdr:cNvSpPr>
      </xdr:nvSpPr>
      <xdr:spPr bwMode="auto">
        <a:xfrm>
          <a:off x="14392275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1513" name="AutoShape 9" descr=":eyes~1:">
          <a:extLst>
            <a:ext uri="{FF2B5EF4-FFF2-40B4-BE49-F238E27FC236}">
              <a16:creationId xmlns:a16="http://schemas.microsoft.com/office/drawing/2014/main" id="{D6301C31-0735-0D8F-4C0C-62F20C55D8DF}"/>
            </a:ext>
          </a:extLst>
        </xdr:cNvPr>
        <xdr:cNvSpPr>
          <a:spLocks noChangeAspect="1" noChangeArrowheads="1"/>
        </xdr:cNvSpPr>
      </xdr:nvSpPr>
      <xdr:spPr bwMode="auto">
        <a:xfrm>
          <a:off x="14392275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1514" name="AutoShape 10" descr="❤️‍🔥">
          <a:extLst>
            <a:ext uri="{FF2B5EF4-FFF2-40B4-BE49-F238E27FC236}">
              <a16:creationId xmlns:a16="http://schemas.microsoft.com/office/drawing/2014/main" id="{F3147A4D-0A0B-4BD6-F49F-4388198CE708}"/>
            </a:ext>
          </a:extLst>
        </xdr:cNvPr>
        <xdr:cNvSpPr>
          <a:spLocks noChangeAspect="1" noChangeArrowheads="1"/>
        </xdr:cNvSpPr>
      </xdr:nvSpPr>
      <xdr:spPr bwMode="auto">
        <a:xfrm>
          <a:off x="14392275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1515" name="AutoShape 11" descr=" ">
          <a:extLst>
            <a:ext uri="{FF2B5EF4-FFF2-40B4-BE49-F238E27FC236}">
              <a16:creationId xmlns:a16="http://schemas.microsoft.com/office/drawing/2014/main" id="{41CC7C02-7B09-2F14-1C93-32415C2FBD43}"/>
            </a:ext>
          </a:extLst>
        </xdr:cNvPr>
        <xdr:cNvSpPr>
          <a:spLocks noChangeAspect="1" noChangeArrowheads="1"/>
        </xdr:cNvSpPr>
      </xdr:nvSpPr>
      <xdr:spPr bwMode="auto">
        <a:xfrm>
          <a:off x="14392275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84666</xdr:colOff>
      <xdr:row>0</xdr:row>
      <xdr:rowOff>63500</xdr:rowOff>
    </xdr:from>
    <xdr:to>
      <xdr:col>10</xdr:col>
      <xdr:colOff>978958</xdr:colOff>
      <xdr:row>3</xdr:row>
      <xdr:rowOff>211667</xdr:rowOff>
    </xdr:to>
    <xdr:pic>
      <xdr:nvPicPr>
        <xdr:cNvPr id="4" name="Picture 3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6E7137-70F2-419E-9A62-EB5B7EFD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3083" y="6350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2049" name="AutoShape 1" descr=" ">
          <a:extLst>
            <a:ext uri="{FF2B5EF4-FFF2-40B4-BE49-F238E27FC236}">
              <a16:creationId xmlns:a16="http://schemas.microsoft.com/office/drawing/2014/main" id="{31FCC56C-1CE2-3DA1-1212-816126D25812}"/>
            </a:ext>
          </a:extLst>
        </xdr:cNvPr>
        <xdr:cNvSpPr>
          <a:spLocks noChangeAspect="1" noChangeArrowheads="1"/>
        </xdr:cNvSpPr>
      </xdr:nvSpPr>
      <xdr:spPr bwMode="auto">
        <a:xfrm>
          <a:off x="19497675" y="1286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50" name="AutoShape 2" descr=":eyes~1:">
          <a:extLst>
            <a:ext uri="{FF2B5EF4-FFF2-40B4-BE49-F238E27FC236}">
              <a16:creationId xmlns:a16="http://schemas.microsoft.com/office/drawing/2014/main" id="{8EB24B6B-6D54-92F3-DBCD-090359E1976B}"/>
            </a:ext>
          </a:extLst>
        </xdr:cNvPr>
        <xdr:cNvSpPr>
          <a:spLocks noChangeAspect="1" noChangeArrowheads="1"/>
        </xdr:cNvSpPr>
      </xdr:nvSpPr>
      <xdr:spPr bwMode="auto">
        <a:xfrm>
          <a:off x="19497675" y="14373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51" name="AutoShape 3" descr="❤️‍🔥">
          <a:extLst>
            <a:ext uri="{FF2B5EF4-FFF2-40B4-BE49-F238E27FC236}">
              <a16:creationId xmlns:a16="http://schemas.microsoft.com/office/drawing/2014/main" id="{520680C5-A77A-370E-BE17-4979E89CC018}"/>
            </a:ext>
          </a:extLst>
        </xdr:cNvPr>
        <xdr:cNvSpPr>
          <a:spLocks noChangeAspect="1" noChangeArrowheads="1"/>
        </xdr:cNvSpPr>
      </xdr:nvSpPr>
      <xdr:spPr bwMode="auto">
        <a:xfrm>
          <a:off x="19497675" y="16468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52" name="AutoShape 4" descr=" ">
          <a:extLst>
            <a:ext uri="{FF2B5EF4-FFF2-40B4-BE49-F238E27FC236}">
              <a16:creationId xmlns:a16="http://schemas.microsoft.com/office/drawing/2014/main" id="{7C41C7FB-603F-2402-E59B-E01033AF8099}"/>
            </a:ext>
          </a:extLst>
        </xdr:cNvPr>
        <xdr:cNvSpPr>
          <a:spLocks noChangeAspect="1" noChangeArrowheads="1"/>
        </xdr:cNvSpPr>
      </xdr:nvSpPr>
      <xdr:spPr bwMode="auto">
        <a:xfrm>
          <a:off x="19497675" y="1989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2055" name="AutoShape 7" descr="❤️‍🔥">
          <a:extLst>
            <a:ext uri="{FF2B5EF4-FFF2-40B4-BE49-F238E27FC236}">
              <a16:creationId xmlns:a16="http://schemas.microsoft.com/office/drawing/2014/main" id="{CEB05E30-9232-3127-5A30-CEF06CB0230C}"/>
            </a:ext>
          </a:extLst>
        </xdr:cNvPr>
        <xdr:cNvSpPr>
          <a:spLocks noChangeAspect="1" noChangeArrowheads="1"/>
        </xdr:cNvSpPr>
      </xdr:nvSpPr>
      <xdr:spPr bwMode="auto">
        <a:xfrm>
          <a:off x="19497675" y="2235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56" name="AutoShape 8" descr=" ">
          <a:extLst>
            <a:ext uri="{FF2B5EF4-FFF2-40B4-BE49-F238E27FC236}">
              <a16:creationId xmlns:a16="http://schemas.microsoft.com/office/drawing/2014/main" id="{B25DE67C-8752-1579-8D6E-A85E03E23B2F}"/>
            </a:ext>
          </a:extLst>
        </xdr:cNvPr>
        <xdr:cNvSpPr>
          <a:spLocks noChangeAspect="1" noChangeArrowheads="1"/>
        </xdr:cNvSpPr>
      </xdr:nvSpPr>
      <xdr:spPr bwMode="auto">
        <a:xfrm>
          <a:off x="21326475" y="14373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57" name="AutoShape 9" descr=":eyes~1:">
          <a:extLst>
            <a:ext uri="{FF2B5EF4-FFF2-40B4-BE49-F238E27FC236}">
              <a16:creationId xmlns:a16="http://schemas.microsoft.com/office/drawing/2014/main" id="{B38064E7-B23A-8996-F060-208A45246C6F}"/>
            </a:ext>
          </a:extLst>
        </xdr:cNvPr>
        <xdr:cNvSpPr>
          <a:spLocks noChangeAspect="1" noChangeArrowheads="1"/>
        </xdr:cNvSpPr>
      </xdr:nvSpPr>
      <xdr:spPr bwMode="auto">
        <a:xfrm>
          <a:off x="21326475" y="1778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58" name="AutoShape 10" descr="❤️‍🔥">
          <a:extLst>
            <a:ext uri="{FF2B5EF4-FFF2-40B4-BE49-F238E27FC236}">
              <a16:creationId xmlns:a16="http://schemas.microsoft.com/office/drawing/2014/main" id="{33B8FEA0-29A1-E4D0-03A7-798D35A5D3B7}"/>
            </a:ext>
          </a:extLst>
        </xdr:cNvPr>
        <xdr:cNvSpPr>
          <a:spLocks noChangeAspect="1" noChangeArrowheads="1"/>
        </xdr:cNvSpPr>
      </xdr:nvSpPr>
      <xdr:spPr bwMode="auto">
        <a:xfrm>
          <a:off x="21326475" y="1987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2059" name="AutoShape 11" descr=" ">
          <a:extLst>
            <a:ext uri="{FF2B5EF4-FFF2-40B4-BE49-F238E27FC236}">
              <a16:creationId xmlns:a16="http://schemas.microsoft.com/office/drawing/2014/main" id="{2570975E-918C-9489-9D49-63672D22A487}"/>
            </a:ext>
          </a:extLst>
        </xdr:cNvPr>
        <xdr:cNvSpPr>
          <a:spLocks noChangeAspect="1" noChangeArrowheads="1"/>
        </xdr:cNvSpPr>
      </xdr:nvSpPr>
      <xdr:spPr bwMode="auto">
        <a:xfrm>
          <a:off x="21326475" y="24279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3073" name="AutoShape 1" descr=" ">
          <a:extLst>
            <a:ext uri="{FF2B5EF4-FFF2-40B4-BE49-F238E27FC236}">
              <a16:creationId xmlns:a16="http://schemas.microsoft.com/office/drawing/2014/main" id="{8EC1927D-3891-688D-F7ED-A225820611E3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3074" name="AutoShape 2" descr=":eyes~1:">
          <a:extLst>
            <a:ext uri="{FF2B5EF4-FFF2-40B4-BE49-F238E27FC236}">
              <a16:creationId xmlns:a16="http://schemas.microsoft.com/office/drawing/2014/main" id="{0893E66C-5B19-200E-5700-BA9F6138719B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3075" name="AutoShape 3" descr="❤️‍🔥">
          <a:extLst>
            <a:ext uri="{FF2B5EF4-FFF2-40B4-BE49-F238E27FC236}">
              <a16:creationId xmlns:a16="http://schemas.microsoft.com/office/drawing/2014/main" id="{F7E689D3-B364-090D-C881-48F11108AFD2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3076" name="AutoShape 4" descr=" ">
          <a:extLst>
            <a:ext uri="{FF2B5EF4-FFF2-40B4-BE49-F238E27FC236}">
              <a16:creationId xmlns:a16="http://schemas.microsoft.com/office/drawing/2014/main" id="{B6664DFD-A662-DCF4-52B2-5612105CF31E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43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3079" name="AutoShape 7" descr="❤️‍🔥">
          <a:extLst>
            <a:ext uri="{FF2B5EF4-FFF2-40B4-BE49-F238E27FC236}">
              <a16:creationId xmlns:a16="http://schemas.microsoft.com/office/drawing/2014/main" id="{870CDEFE-5460-7F4E-ED80-A160D937739C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2072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3080" name="AutoShape 8" descr=" ">
          <a:extLst>
            <a:ext uri="{FF2B5EF4-FFF2-40B4-BE49-F238E27FC236}">
              <a16:creationId xmlns:a16="http://schemas.microsoft.com/office/drawing/2014/main" id="{4370C759-50B6-7234-787F-03327941D672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3081" name="AutoShape 9" descr=":eyes~1:">
          <a:extLst>
            <a:ext uri="{FF2B5EF4-FFF2-40B4-BE49-F238E27FC236}">
              <a16:creationId xmlns:a16="http://schemas.microsoft.com/office/drawing/2014/main" id="{BA917E3D-3F19-7302-1E90-174BE9F79D21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3082" name="AutoShape 10" descr="❤️‍🔥">
          <a:extLst>
            <a:ext uri="{FF2B5EF4-FFF2-40B4-BE49-F238E27FC236}">
              <a16:creationId xmlns:a16="http://schemas.microsoft.com/office/drawing/2014/main" id="{1C422AD2-CE62-C669-91D8-FBCD35B06375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3083" name="AutoShape 11" descr=" ">
          <a:extLst>
            <a:ext uri="{FF2B5EF4-FFF2-40B4-BE49-F238E27FC236}">
              <a16:creationId xmlns:a16="http://schemas.microsoft.com/office/drawing/2014/main" id="{A502BDE5-7C16-E7A0-C364-8DDE58CF7FCD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143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3086" name="AutoShape 14" descr="❤️‍🔥">
          <a:extLst>
            <a:ext uri="{FF2B5EF4-FFF2-40B4-BE49-F238E27FC236}">
              <a16:creationId xmlns:a16="http://schemas.microsoft.com/office/drawing/2014/main" id="{CCA16F4E-F0E9-1858-438D-D2E657C5F85B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143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19050</xdr:colOff>
      <xdr:row>0</xdr:row>
      <xdr:rowOff>0</xdr:rowOff>
    </xdr:from>
    <xdr:to>
      <xdr:col>10</xdr:col>
      <xdr:colOff>790575</xdr:colOff>
      <xdr:row>3</xdr:row>
      <xdr:rowOff>200025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8E0ADA-0B0A-4734-9930-716C83F1B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0925" y="0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4097" name="AutoShape 1" descr=" ">
          <a:extLst>
            <a:ext uri="{FF2B5EF4-FFF2-40B4-BE49-F238E27FC236}">
              <a16:creationId xmlns:a16="http://schemas.microsoft.com/office/drawing/2014/main" id="{0896399C-9B7D-5618-867D-163DFA25F906}"/>
            </a:ext>
          </a:extLst>
        </xdr:cNvPr>
        <xdr:cNvSpPr>
          <a:spLocks noChangeAspect="1" noChangeArrowheads="1"/>
        </xdr:cNvSpPr>
      </xdr:nvSpPr>
      <xdr:spPr bwMode="auto">
        <a:xfrm>
          <a:off x="19326225" y="1206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4098" name="AutoShape 2" descr=":eyes~1:">
          <a:extLst>
            <a:ext uri="{FF2B5EF4-FFF2-40B4-BE49-F238E27FC236}">
              <a16:creationId xmlns:a16="http://schemas.microsoft.com/office/drawing/2014/main" id="{7C51F46D-B9D7-D6EB-FC6B-022C87AB776F}"/>
            </a:ext>
          </a:extLst>
        </xdr:cNvPr>
        <xdr:cNvSpPr>
          <a:spLocks noChangeAspect="1" noChangeArrowheads="1"/>
        </xdr:cNvSpPr>
      </xdr:nvSpPr>
      <xdr:spPr bwMode="auto">
        <a:xfrm>
          <a:off x="19326225" y="1357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4099" name="AutoShape 3" descr="❤️‍🔥">
          <a:extLst>
            <a:ext uri="{FF2B5EF4-FFF2-40B4-BE49-F238E27FC236}">
              <a16:creationId xmlns:a16="http://schemas.microsoft.com/office/drawing/2014/main" id="{271D856B-55F6-24E8-5542-4EF4D1820050}"/>
            </a:ext>
          </a:extLst>
        </xdr:cNvPr>
        <xdr:cNvSpPr>
          <a:spLocks noChangeAspect="1" noChangeArrowheads="1"/>
        </xdr:cNvSpPr>
      </xdr:nvSpPr>
      <xdr:spPr bwMode="auto">
        <a:xfrm>
          <a:off x="19326225" y="1566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4100" name="AutoShape 4" descr=" ">
          <a:extLst>
            <a:ext uri="{FF2B5EF4-FFF2-40B4-BE49-F238E27FC236}">
              <a16:creationId xmlns:a16="http://schemas.microsoft.com/office/drawing/2014/main" id="{A8590BB1-E54F-2553-8FA4-8D84ADCDDDC3}"/>
            </a:ext>
          </a:extLst>
        </xdr:cNvPr>
        <xdr:cNvSpPr>
          <a:spLocks noChangeAspect="1" noChangeArrowheads="1"/>
        </xdr:cNvSpPr>
      </xdr:nvSpPr>
      <xdr:spPr bwMode="auto">
        <a:xfrm>
          <a:off x="19326225" y="19097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581025</xdr:colOff>
      <xdr:row>60</xdr:row>
      <xdr:rowOff>9525</xdr:rowOff>
    </xdr:from>
    <xdr:to>
      <xdr:col>21</xdr:col>
      <xdr:colOff>276225</xdr:colOff>
      <xdr:row>61</xdr:row>
      <xdr:rowOff>123825</xdr:rowOff>
    </xdr:to>
    <xdr:sp macro="" textlink="">
      <xdr:nvSpPr>
        <xdr:cNvPr id="4103" name="AutoShape 7" descr="❤️‍🔥">
          <a:extLst>
            <a:ext uri="{FF2B5EF4-FFF2-40B4-BE49-F238E27FC236}">
              <a16:creationId xmlns:a16="http://schemas.microsoft.com/office/drawing/2014/main" id="{5E2978C9-5B59-6821-0FD5-DC6F0A25388C}"/>
            </a:ext>
          </a:extLst>
        </xdr:cNvPr>
        <xdr:cNvSpPr>
          <a:spLocks noChangeAspect="1" noChangeArrowheads="1"/>
        </xdr:cNvSpPr>
      </xdr:nvSpPr>
      <xdr:spPr bwMode="auto">
        <a:xfrm>
          <a:off x="19297650" y="1226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4104" name="AutoShape 8" descr=" ">
          <a:extLst>
            <a:ext uri="{FF2B5EF4-FFF2-40B4-BE49-F238E27FC236}">
              <a16:creationId xmlns:a16="http://schemas.microsoft.com/office/drawing/2014/main" id="{3AF45F65-3264-4372-13BF-AC838DB4CE12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1357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4105" name="AutoShape 9" descr=":eyes~1:">
          <a:extLst>
            <a:ext uri="{FF2B5EF4-FFF2-40B4-BE49-F238E27FC236}">
              <a16:creationId xmlns:a16="http://schemas.microsoft.com/office/drawing/2014/main" id="{9ADE4B69-EAF5-9AE0-2B0B-922589EC5401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1698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4106" name="AutoShape 10" descr="❤️‍🔥">
          <a:extLst>
            <a:ext uri="{FF2B5EF4-FFF2-40B4-BE49-F238E27FC236}">
              <a16:creationId xmlns:a16="http://schemas.microsoft.com/office/drawing/2014/main" id="{CF0FAAE7-36A6-1F5C-305F-280AFC4553FF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19078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4107" name="AutoShape 11" descr=" ">
          <a:extLst>
            <a:ext uri="{FF2B5EF4-FFF2-40B4-BE49-F238E27FC236}">
              <a16:creationId xmlns:a16="http://schemas.microsoft.com/office/drawing/2014/main" id="{ADE0B7CD-EC0D-74CA-06CB-8D91D36694FA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2347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4110" name="AutoShape 14" descr="❤️‍🔥">
          <a:extLst>
            <a:ext uri="{FF2B5EF4-FFF2-40B4-BE49-F238E27FC236}">
              <a16:creationId xmlns:a16="http://schemas.microsoft.com/office/drawing/2014/main" id="{0FCA2531-01D8-ACD5-B814-F1EFF0CE974E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27212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5121" name="AutoShape 1" descr=" ">
          <a:extLst>
            <a:ext uri="{FF2B5EF4-FFF2-40B4-BE49-F238E27FC236}">
              <a16:creationId xmlns:a16="http://schemas.microsoft.com/office/drawing/2014/main" id="{FB9EE004-AE03-93A2-7B1D-BBE1D85E947A}"/>
            </a:ext>
          </a:extLst>
        </xdr:cNvPr>
        <xdr:cNvSpPr>
          <a:spLocks noChangeAspect="1" noChangeArrowheads="1"/>
        </xdr:cNvSpPr>
      </xdr:nvSpPr>
      <xdr:spPr bwMode="auto">
        <a:xfrm>
          <a:off x="14449425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28575</xdr:colOff>
      <xdr:row>59</xdr:row>
      <xdr:rowOff>180975</xdr:rowOff>
    </xdr:from>
    <xdr:to>
      <xdr:col>21</xdr:col>
      <xdr:colOff>333375</xdr:colOff>
      <xdr:row>61</xdr:row>
      <xdr:rowOff>104775</xdr:rowOff>
    </xdr:to>
    <xdr:sp macro="" textlink="">
      <xdr:nvSpPr>
        <xdr:cNvPr id="5122" name="AutoShape 2" descr=":eyes~1:">
          <a:extLst>
            <a:ext uri="{FF2B5EF4-FFF2-40B4-BE49-F238E27FC236}">
              <a16:creationId xmlns:a16="http://schemas.microsoft.com/office/drawing/2014/main" id="{D9DE914D-47EE-4A09-CCFC-AE9D7F3C9A9B}"/>
            </a:ext>
          </a:extLst>
        </xdr:cNvPr>
        <xdr:cNvSpPr>
          <a:spLocks noChangeAspect="1" noChangeArrowheads="1"/>
        </xdr:cNvSpPr>
      </xdr:nvSpPr>
      <xdr:spPr bwMode="auto">
        <a:xfrm>
          <a:off x="14478000" y="11420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5128" name="AutoShape 8" descr=" ">
          <a:extLst>
            <a:ext uri="{FF2B5EF4-FFF2-40B4-BE49-F238E27FC236}">
              <a16:creationId xmlns:a16="http://schemas.microsoft.com/office/drawing/2014/main" id="{979AE282-20A5-3D7A-9431-414C9BB4AA6E}"/>
            </a:ext>
          </a:extLst>
        </xdr:cNvPr>
        <xdr:cNvSpPr>
          <a:spLocks noChangeAspect="1" noChangeArrowheads="1"/>
        </xdr:cNvSpPr>
      </xdr:nvSpPr>
      <xdr:spPr bwMode="auto">
        <a:xfrm>
          <a:off x="16278225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5129" name="AutoShape 9" descr=":eyes~1:">
          <a:extLst>
            <a:ext uri="{FF2B5EF4-FFF2-40B4-BE49-F238E27FC236}">
              <a16:creationId xmlns:a16="http://schemas.microsoft.com/office/drawing/2014/main" id="{7E325A44-E45F-1822-19C7-95235B8E2590}"/>
            </a:ext>
          </a:extLst>
        </xdr:cNvPr>
        <xdr:cNvSpPr>
          <a:spLocks noChangeAspect="1" noChangeArrowheads="1"/>
        </xdr:cNvSpPr>
      </xdr:nvSpPr>
      <xdr:spPr bwMode="auto">
        <a:xfrm>
          <a:off x="16278225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5130" name="AutoShape 10" descr="❤️‍🔥">
          <a:extLst>
            <a:ext uri="{FF2B5EF4-FFF2-40B4-BE49-F238E27FC236}">
              <a16:creationId xmlns:a16="http://schemas.microsoft.com/office/drawing/2014/main" id="{8E49109F-5313-B44D-21E0-3C2C3188DAF4}"/>
            </a:ext>
          </a:extLst>
        </xdr:cNvPr>
        <xdr:cNvSpPr>
          <a:spLocks noChangeAspect="1" noChangeArrowheads="1"/>
        </xdr:cNvSpPr>
      </xdr:nvSpPr>
      <xdr:spPr bwMode="auto">
        <a:xfrm>
          <a:off x="16278225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5131" name="AutoShape 11" descr=" ">
          <a:extLst>
            <a:ext uri="{FF2B5EF4-FFF2-40B4-BE49-F238E27FC236}">
              <a16:creationId xmlns:a16="http://schemas.microsoft.com/office/drawing/2014/main" id="{A26F85C0-0150-D2B7-6995-6F2FFF53F186}"/>
            </a:ext>
          </a:extLst>
        </xdr:cNvPr>
        <xdr:cNvSpPr>
          <a:spLocks noChangeAspect="1" noChangeArrowheads="1"/>
        </xdr:cNvSpPr>
      </xdr:nvSpPr>
      <xdr:spPr bwMode="auto">
        <a:xfrm>
          <a:off x="16278225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5134" name="AutoShape 14" descr="❤️‍🔥">
          <a:extLst>
            <a:ext uri="{FF2B5EF4-FFF2-40B4-BE49-F238E27FC236}">
              <a16:creationId xmlns:a16="http://schemas.microsoft.com/office/drawing/2014/main" id="{D0BAAF26-88E7-2BBA-FB8B-F896162C9F92}"/>
            </a:ext>
          </a:extLst>
        </xdr:cNvPr>
        <xdr:cNvSpPr>
          <a:spLocks noChangeAspect="1" noChangeArrowheads="1"/>
        </xdr:cNvSpPr>
      </xdr:nvSpPr>
      <xdr:spPr bwMode="auto">
        <a:xfrm>
          <a:off x="16278225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</xdr:colOff>
      <xdr:row>0</xdr:row>
      <xdr:rowOff>104775</xdr:rowOff>
    </xdr:from>
    <xdr:to>
      <xdr:col>10</xdr:col>
      <xdr:colOff>790575</xdr:colOff>
      <xdr:row>3</xdr:row>
      <xdr:rowOff>485775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3DB114-0913-40C7-A7F8-827FC942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48950" y="104775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6145" name="AutoShape 1" descr=" ">
          <a:extLst>
            <a:ext uri="{FF2B5EF4-FFF2-40B4-BE49-F238E27FC236}">
              <a16:creationId xmlns:a16="http://schemas.microsoft.com/office/drawing/2014/main" id="{90F5EE6A-8DCD-1217-1BD8-5DE1A19EEE72}"/>
            </a:ext>
          </a:extLst>
        </xdr:cNvPr>
        <xdr:cNvSpPr>
          <a:spLocks noChangeAspect="1" noChangeArrowheads="1"/>
        </xdr:cNvSpPr>
      </xdr:nvSpPr>
      <xdr:spPr bwMode="auto">
        <a:xfrm>
          <a:off x="2442210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6146" name="AutoShape 2" descr=":eyes~1:">
          <a:extLst>
            <a:ext uri="{FF2B5EF4-FFF2-40B4-BE49-F238E27FC236}">
              <a16:creationId xmlns:a16="http://schemas.microsoft.com/office/drawing/2014/main" id="{355FCF9B-DD44-0C90-50CB-52E29C6A45B0}"/>
            </a:ext>
          </a:extLst>
        </xdr:cNvPr>
        <xdr:cNvSpPr>
          <a:spLocks noChangeAspect="1" noChangeArrowheads="1"/>
        </xdr:cNvSpPr>
      </xdr:nvSpPr>
      <xdr:spPr bwMode="auto">
        <a:xfrm>
          <a:off x="24422100" y="1283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6147" name="AutoShape 3" descr="❤️‍🔥">
          <a:extLst>
            <a:ext uri="{FF2B5EF4-FFF2-40B4-BE49-F238E27FC236}">
              <a16:creationId xmlns:a16="http://schemas.microsoft.com/office/drawing/2014/main" id="{776A7C1D-13FC-E7C5-6D7D-18D0C581E47D}"/>
            </a:ext>
          </a:extLst>
        </xdr:cNvPr>
        <xdr:cNvSpPr>
          <a:spLocks noChangeAspect="1" noChangeArrowheads="1"/>
        </xdr:cNvSpPr>
      </xdr:nvSpPr>
      <xdr:spPr bwMode="auto">
        <a:xfrm>
          <a:off x="24422100" y="1379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6148" name="AutoShape 4" descr=" ">
          <a:extLst>
            <a:ext uri="{FF2B5EF4-FFF2-40B4-BE49-F238E27FC236}">
              <a16:creationId xmlns:a16="http://schemas.microsoft.com/office/drawing/2014/main" id="{123385D3-14F8-378C-1728-68AD8CA8E34F}"/>
            </a:ext>
          </a:extLst>
        </xdr:cNvPr>
        <xdr:cNvSpPr>
          <a:spLocks noChangeAspect="1" noChangeArrowheads="1"/>
        </xdr:cNvSpPr>
      </xdr:nvSpPr>
      <xdr:spPr bwMode="auto">
        <a:xfrm>
          <a:off x="24422100" y="16268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6151" name="AutoShape 7" descr="❤️‍🔥">
          <a:extLst>
            <a:ext uri="{FF2B5EF4-FFF2-40B4-BE49-F238E27FC236}">
              <a16:creationId xmlns:a16="http://schemas.microsoft.com/office/drawing/2014/main" id="{CB695138-0A27-EBBC-E05D-B439979F8519}"/>
            </a:ext>
          </a:extLst>
        </xdr:cNvPr>
        <xdr:cNvSpPr>
          <a:spLocks noChangeAspect="1" noChangeArrowheads="1"/>
        </xdr:cNvSpPr>
      </xdr:nvSpPr>
      <xdr:spPr bwMode="auto">
        <a:xfrm>
          <a:off x="24422100" y="17497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6152" name="AutoShape 8" descr=" ">
          <a:extLst>
            <a:ext uri="{FF2B5EF4-FFF2-40B4-BE49-F238E27FC236}">
              <a16:creationId xmlns:a16="http://schemas.microsoft.com/office/drawing/2014/main" id="{375EE9F6-4B42-78D2-56FB-EF57143479D0}"/>
            </a:ext>
          </a:extLst>
        </xdr:cNvPr>
        <xdr:cNvSpPr>
          <a:spLocks noChangeAspect="1" noChangeArrowheads="1"/>
        </xdr:cNvSpPr>
      </xdr:nvSpPr>
      <xdr:spPr bwMode="auto">
        <a:xfrm>
          <a:off x="28108275" y="1283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6153" name="AutoShape 9" descr=":eyes~1:">
          <a:extLst>
            <a:ext uri="{FF2B5EF4-FFF2-40B4-BE49-F238E27FC236}">
              <a16:creationId xmlns:a16="http://schemas.microsoft.com/office/drawing/2014/main" id="{D1CAB768-16FD-55D9-CC51-36B7581A92E4}"/>
            </a:ext>
          </a:extLst>
        </xdr:cNvPr>
        <xdr:cNvSpPr>
          <a:spLocks noChangeAspect="1" noChangeArrowheads="1"/>
        </xdr:cNvSpPr>
      </xdr:nvSpPr>
      <xdr:spPr bwMode="auto">
        <a:xfrm>
          <a:off x="28108275" y="1444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6154" name="AutoShape 10" descr="❤️‍🔥">
          <a:extLst>
            <a:ext uri="{FF2B5EF4-FFF2-40B4-BE49-F238E27FC236}">
              <a16:creationId xmlns:a16="http://schemas.microsoft.com/office/drawing/2014/main" id="{BF520B85-8EBF-4E11-ECEA-BD5F9D2CFB60}"/>
            </a:ext>
          </a:extLst>
        </xdr:cNvPr>
        <xdr:cNvSpPr>
          <a:spLocks noChangeAspect="1" noChangeArrowheads="1"/>
        </xdr:cNvSpPr>
      </xdr:nvSpPr>
      <xdr:spPr bwMode="auto">
        <a:xfrm>
          <a:off x="28108275" y="15401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6155" name="AutoShape 11" descr=" ">
          <a:extLst>
            <a:ext uri="{FF2B5EF4-FFF2-40B4-BE49-F238E27FC236}">
              <a16:creationId xmlns:a16="http://schemas.microsoft.com/office/drawing/2014/main" id="{F05DB279-6AF0-F410-F0F0-B53D3AF32C40}"/>
            </a:ext>
          </a:extLst>
        </xdr:cNvPr>
        <xdr:cNvSpPr>
          <a:spLocks noChangeAspect="1" noChangeArrowheads="1"/>
        </xdr:cNvSpPr>
      </xdr:nvSpPr>
      <xdr:spPr bwMode="auto">
        <a:xfrm>
          <a:off x="28108275" y="1788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6158" name="AutoShape 14" descr="❤️‍🔥">
          <a:extLst>
            <a:ext uri="{FF2B5EF4-FFF2-40B4-BE49-F238E27FC236}">
              <a16:creationId xmlns:a16="http://schemas.microsoft.com/office/drawing/2014/main" id="{73246DA5-45A6-E99B-4715-31608BC9E9FC}"/>
            </a:ext>
          </a:extLst>
        </xdr:cNvPr>
        <xdr:cNvSpPr>
          <a:spLocks noChangeAspect="1" noChangeArrowheads="1"/>
        </xdr:cNvSpPr>
      </xdr:nvSpPr>
      <xdr:spPr bwMode="auto">
        <a:xfrm>
          <a:off x="28108275" y="19564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7169" name="AutoShape 1" descr=" ">
          <a:extLst>
            <a:ext uri="{FF2B5EF4-FFF2-40B4-BE49-F238E27FC236}">
              <a16:creationId xmlns:a16="http://schemas.microsoft.com/office/drawing/2014/main" id="{EA1564F9-1CD8-FBB2-F140-31C5DF4EB360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3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7170" name="AutoShape 2" descr=":eyes~1:">
          <a:extLst>
            <a:ext uri="{FF2B5EF4-FFF2-40B4-BE49-F238E27FC236}">
              <a16:creationId xmlns:a16="http://schemas.microsoft.com/office/drawing/2014/main" id="{74E33DAE-5D7A-794B-8249-1DC139753185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7171" name="AutoShape 3" descr="❤️‍🔥">
          <a:extLst>
            <a:ext uri="{FF2B5EF4-FFF2-40B4-BE49-F238E27FC236}">
              <a16:creationId xmlns:a16="http://schemas.microsoft.com/office/drawing/2014/main" id="{4631FA9B-0D97-156C-8BEC-346236F77C49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7172" name="AutoShape 4" descr=" ">
          <a:extLst>
            <a:ext uri="{FF2B5EF4-FFF2-40B4-BE49-F238E27FC236}">
              <a16:creationId xmlns:a16="http://schemas.microsoft.com/office/drawing/2014/main" id="{CE9A7091-CFF3-D4E7-5F77-024E322D6BCB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6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7175" name="AutoShape 7" descr="❤️‍🔥">
          <a:extLst>
            <a:ext uri="{FF2B5EF4-FFF2-40B4-BE49-F238E27FC236}">
              <a16:creationId xmlns:a16="http://schemas.microsoft.com/office/drawing/2014/main" id="{7735E66A-B13F-4319-5DA6-523512975B1D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2072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7176" name="AutoShape 8" descr=" ">
          <a:extLst>
            <a:ext uri="{FF2B5EF4-FFF2-40B4-BE49-F238E27FC236}">
              <a16:creationId xmlns:a16="http://schemas.microsoft.com/office/drawing/2014/main" id="{BCD2C2B6-2387-B0F9-BF36-F6580856DFC6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4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7177" name="AutoShape 9" descr=":eyes~1:">
          <a:extLst>
            <a:ext uri="{FF2B5EF4-FFF2-40B4-BE49-F238E27FC236}">
              <a16:creationId xmlns:a16="http://schemas.microsoft.com/office/drawing/2014/main" id="{09FD97F9-5972-886F-0353-42CF45A4A0A7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54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7178" name="AutoShape 10" descr="❤️‍🔥">
          <a:extLst>
            <a:ext uri="{FF2B5EF4-FFF2-40B4-BE49-F238E27FC236}">
              <a16:creationId xmlns:a16="http://schemas.microsoft.com/office/drawing/2014/main" id="{A6B9B6F6-B447-8272-3C94-597FD07CB26F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7179" name="AutoShape 11" descr=" ">
          <a:extLst>
            <a:ext uri="{FF2B5EF4-FFF2-40B4-BE49-F238E27FC236}">
              <a16:creationId xmlns:a16="http://schemas.microsoft.com/office/drawing/2014/main" id="{B04A59E1-E9E2-94E2-F21E-0D3373B3EA7D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50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7182" name="AutoShape 14" descr="❤️‍🔥">
          <a:extLst>
            <a:ext uri="{FF2B5EF4-FFF2-40B4-BE49-F238E27FC236}">
              <a16:creationId xmlns:a16="http://schemas.microsoft.com/office/drawing/2014/main" id="{790E64F9-C7BF-776D-C4F4-CEB04FE5DCE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6384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57150</xdr:colOff>
      <xdr:row>0</xdr:row>
      <xdr:rowOff>66675</xdr:rowOff>
    </xdr:from>
    <xdr:to>
      <xdr:col>10</xdr:col>
      <xdr:colOff>828675</xdr:colOff>
      <xdr:row>3</xdr:row>
      <xdr:rowOff>447675</xdr:rowOff>
    </xdr:to>
    <xdr:pic>
      <xdr:nvPicPr>
        <xdr:cNvPr id="3" name="Picture 2" descr="Address, blue, casa, circle, home, house, local icon - Download on  Iconfinde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43B32A-D9AC-4FF3-95B3-B167EC7CF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66675"/>
          <a:ext cx="13811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8193" name="AutoShape 1" descr=" ">
          <a:extLst>
            <a:ext uri="{FF2B5EF4-FFF2-40B4-BE49-F238E27FC236}">
              <a16:creationId xmlns:a16="http://schemas.microsoft.com/office/drawing/2014/main" id="{7AFCEA0E-EE89-53AB-B382-AD12A30D3092}"/>
            </a:ext>
          </a:extLst>
        </xdr:cNvPr>
        <xdr:cNvSpPr>
          <a:spLocks noChangeAspect="1" noChangeArrowheads="1"/>
        </xdr:cNvSpPr>
      </xdr:nvSpPr>
      <xdr:spPr bwMode="auto">
        <a:xfrm>
          <a:off x="17411700" y="11972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8194" name="AutoShape 2" descr=":eyes~1:">
          <a:extLst>
            <a:ext uri="{FF2B5EF4-FFF2-40B4-BE49-F238E27FC236}">
              <a16:creationId xmlns:a16="http://schemas.microsoft.com/office/drawing/2014/main" id="{F6756115-9001-470C-AA96-4E6876D89AA0}"/>
            </a:ext>
          </a:extLst>
        </xdr:cNvPr>
        <xdr:cNvSpPr>
          <a:spLocks noChangeAspect="1" noChangeArrowheads="1"/>
        </xdr:cNvSpPr>
      </xdr:nvSpPr>
      <xdr:spPr bwMode="auto">
        <a:xfrm>
          <a:off x="17411700" y="1347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8195" name="AutoShape 3" descr="❤️‍🔥">
          <a:extLst>
            <a:ext uri="{FF2B5EF4-FFF2-40B4-BE49-F238E27FC236}">
              <a16:creationId xmlns:a16="http://schemas.microsoft.com/office/drawing/2014/main" id="{7B7BBAA9-7C14-DDAB-2849-F4613B6CFEFB}"/>
            </a:ext>
          </a:extLst>
        </xdr:cNvPr>
        <xdr:cNvSpPr>
          <a:spLocks noChangeAspect="1" noChangeArrowheads="1"/>
        </xdr:cNvSpPr>
      </xdr:nvSpPr>
      <xdr:spPr bwMode="auto">
        <a:xfrm>
          <a:off x="17411700" y="1557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8196" name="AutoShape 4" descr=" ">
          <a:extLst>
            <a:ext uri="{FF2B5EF4-FFF2-40B4-BE49-F238E27FC236}">
              <a16:creationId xmlns:a16="http://schemas.microsoft.com/office/drawing/2014/main" id="{58093345-BF72-D29D-5E03-75934DC7BB58}"/>
            </a:ext>
          </a:extLst>
        </xdr:cNvPr>
        <xdr:cNvSpPr>
          <a:spLocks noChangeAspect="1" noChangeArrowheads="1"/>
        </xdr:cNvSpPr>
      </xdr:nvSpPr>
      <xdr:spPr bwMode="auto">
        <a:xfrm>
          <a:off x="17411700" y="19002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8200" name="AutoShape 8" descr=" ">
          <a:extLst>
            <a:ext uri="{FF2B5EF4-FFF2-40B4-BE49-F238E27FC236}">
              <a16:creationId xmlns:a16="http://schemas.microsoft.com/office/drawing/2014/main" id="{31E51B54-9BB3-ED99-3F52-2F6E16E0C68A}"/>
            </a:ext>
          </a:extLst>
        </xdr:cNvPr>
        <xdr:cNvSpPr>
          <a:spLocks noChangeAspect="1" noChangeArrowheads="1"/>
        </xdr:cNvSpPr>
      </xdr:nvSpPr>
      <xdr:spPr bwMode="auto">
        <a:xfrm>
          <a:off x="19240500" y="1347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8201" name="AutoShape 9" descr=":eyes~1:">
          <a:extLst>
            <a:ext uri="{FF2B5EF4-FFF2-40B4-BE49-F238E27FC236}">
              <a16:creationId xmlns:a16="http://schemas.microsoft.com/office/drawing/2014/main" id="{D77B858E-8B4E-8304-6288-4D0D3D9E86AF}"/>
            </a:ext>
          </a:extLst>
        </xdr:cNvPr>
        <xdr:cNvSpPr>
          <a:spLocks noChangeAspect="1" noChangeArrowheads="1"/>
        </xdr:cNvSpPr>
      </xdr:nvSpPr>
      <xdr:spPr bwMode="auto">
        <a:xfrm>
          <a:off x="19240500" y="16887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8202" name="AutoShape 10" descr="❤️‍🔥">
          <a:extLst>
            <a:ext uri="{FF2B5EF4-FFF2-40B4-BE49-F238E27FC236}">
              <a16:creationId xmlns:a16="http://schemas.microsoft.com/office/drawing/2014/main" id="{5B4EE5D1-C4AB-523B-C62D-6185F4E00318}"/>
            </a:ext>
          </a:extLst>
        </xdr:cNvPr>
        <xdr:cNvSpPr>
          <a:spLocks noChangeAspect="1" noChangeArrowheads="1"/>
        </xdr:cNvSpPr>
      </xdr:nvSpPr>
      <xdr:spPr bwMode="auto">
        <a:xfrm>
          <a:off x="19240500" y="1898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8203" name="AutoShape 11" descr=" ">
          <a:extLst>
            <a:ext uri="{FF2B5EF4-FFF2-40B4-BE49-F238E27FC236}">
              <a16:creationId xmlns:a16="http://schemas.microsoft.com/office/drawing/2014/main" id="{CC02E94B-4E9D-FDB1-5500-6E1B747DB1D3}"/>
            </a:ext>
          </a:extLst>
        </xdr:cNvPr>
        <xdr:cNvSpPr>
          <a:spLocks noChangeAspect="1" noChangeArrowheads="1"/>
        </xdr:cNvSpPr>
      </xdr:nvSpPr>
      <xdr:spPr bwMode="auto">
        <a:xfrm>
          <a:off x="19240500" y="2338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8206" name="AutoShape 14" descr="❤️‍🔥">
          <a:extLst>
            <a:ext uri="{FF2B5EF4-FFF2-40B4-BE49-F238E27FC236}">
              <a16:creationId xmlns:a16="http://schemas.microsoft.com/office/drawing/2014/main" id="{9B2F2EBD-41E7-91A1-5D3B-A14F7DA291C5}"/>
            </a:ext>
          </a:extLst>
        </xdr:cNvPr>
        <xdr:cNvSpPr>
          <a:spLocks noChangeAspect="1" noChangeArrowheads="1"/>
        </xdr:cNvSpPr>
      </xdr:nvSpPr>
      <xdr:spPr bwMode="auto">
        <a:xfrm>
          <a:off x="19240500" y="27117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59</xdr:row>
      <xdr:rowOff>0</xdr:rowOff>
    </xdr:from>
    <xdr:to>
      <xdr:col>21</xdr:col>
      <xdr:colOff>304800</xdr:colOff>
      <xdr:row>60</xdr:row>
      <xdr:rowOff>114300</xdr:rowOff>
    </xdr:to>
    <xdr:sp macro="" textlink="">
      <xdr:nvSpPr>
        <xdr:cNvPr id="9217" name="AutoShape 1" descr=" ">
          <a:extLst>
            <a:ext uri="{FF2B5EF4-FFF2-40B4-BE49-F238E27FC236}">
              <a16:creationId xmlns:a16="http://schemas.microsoft.com/office/drawing/2014/main" id="{9A000D06-4094-2C25-110A-0CC851E0A505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122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9218" name="AutoShape 2" descr=":eyes~1:">
          <a:extLst>
            <a:ext uri="{FF2B5EF4-FFF2-40B4-BE49-F238E27FC236}">
              <a16:creationId xmlns:a16="http://schemas.microsoft.com/office/drawing/2014/main" id="{2D19443B-2167-F6FD-511E-A16AE7E0F688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273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9219" name="AutoShape 3" descr="❤️‍🔥">
          <a:extLst>
            <a:ext uri="{FF2B5EF4-FFF2-40B4-BE49-F238E27FC236}">
              <a16:creationId xmlns:a16="http://schemas.microsoft.com/office/drawing/2014/main" id="{D747CDDD-F672-059E-5054-7FB8C6650C54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483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60</xdr:row>
      <xdr:rowOff>0</xdr:rowOff>
    </xdr:from>
    <xdr:to>
      <xdr:col>21</xdr:col>
      <xdr:colOff>304800</xdr:colOff>
      <xdr:row>61</xdr:row>
      <xdr:rowOff>114300</xdr:rowOff>
    </xdr:to>
    <xdr:sp macro="" textlink="">
      <xdr:nvSpPr>
        <xdr:cNvPr id="9220" name="AutoShape 4" descr=" ">
          <a:extLst>
            <a:ext uri="{FF2B5EF4-FFF2-40B4-BE49-F238E27FC236}">
              <a16:creationId xmlns:a16="http://schemas.microsoft.com/office/drawing/2014/main" id="{53540B52-E3BB-83B1-750D-7BAA352178D2}"/>
            </a:ext>
          </a:extLst>
        </xdr:cNvPr>
        <xdr:cNvSpPr>
          <a:spLocks noChangeAspect="1" noChangeArrowheads="1"/>
        </xdr:cNvSpPr>
      </xdr:nvSpPr>
      <xdr:spPr bwMode="auto">
        <a:xfrm>
          <a:off x="12801600" y="1825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9224" name="AutoShape 8" descr=" ">
          <a:extLst>
            <a:ext uri="{FF2B5EF4-FFF2-40B4-BE49-F238E27FC236}">
              <a16:creationId xmlns:a16="http://schemas.microsoft.com/office/drawing/2014/main" id="{0DA6A0AB-CDDA-AA6D-F8F5-8917F5C0AB12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2734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9225" name="AutoShape 9" descr=":eyes~1:">
          <a:extLst>
            <a:ext uri="{FF2B5EF4-FFF2-40B4-BE49-F238E27FC236}">
              <a16:creationId xmlns:a16="http://schemas.microsoft.com/office/drawing/2014/main" id="{A81CE3F5-247C-C5C8-2D10-273A81C58998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6144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9226" name="AutoShape 10" descr="❤️‍🔥">
          <a:extLst>
            <a:ext uri="{FF2B5EF4-FFF2-40B4-BE49-F238E27FC236}">
              <a16:creationId xmlns:a16="http://schemas.microsoft.com/office/drawing/2014/main" id="{437CAEBD-AA9A-B7C5-3026-CB5070998A65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18240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9227" name="AutoShape 11" descr=" ">
          <a:extLst>
            <a:ext uri="{FF2B5EF4-FFF2-40B4-BE49-F238E27FC236}">
              <a16:creationId xmlns:a16="http://schemas.microsoft.com/office/drawing/2014/main" id="{B46947B2-1B3E-388E-0413-A74BFA0C44BE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2640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60</xdr:row>
      <xdr:rowOff>0</xdr:rowOff>
    </xdr:from>
    <xdr:to>
      <xdr:col>24</xdr:col>
      <xdr:colOff>304800</xdr:colOff>
      <xdr:row>61</xdr:row>
      <xdr:rowOff>114300</xdr:rowOff>
    </xdr:to>
    <xdr:sp macro="" textlink="">
      <xdr:nvSpPr>
        <xdr:cNvPr id="9230" name="AutoShape 14" descr="❤️‍🔥">
          <a:extLst>
            <a:ext uri="{FF2B5EF4-FFF2-40B4-BE49-F238E27FC236}">
              <a16:creationId xmlns:a16="http://schemas.microsoft.com/office/drawing/2014/main" id="{5718262D-BC55-3A2E-E56A-33F0BC0177DF}"/>
            </a:ext>
          </a:extLst>
        </xdr:cNvPr>
        <xdr:cNvSpPr>
          <a:spLocks noChangeAspect="1" noChangeArrowheads="1"/>
        </xdr:cNvSpPr>
      </xdr:nvSpPr>
      <xdr:spPr bwMode="auto">
        <a:xfrm>
          <a:off x="14630400" y="2637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02339-C2DF-42D4-855D-1FD924CDB1E6}">
  <sheetPr codeName="Sheet27">
    <tabColor rgb="FF00B050"/>
  </sheetPr>
  <dimension ref="A1:V60"/>
  <sheetViews>
    <sheetView tabSelected="1" workbookViewId="0">
      <selection sqref="A1:O3"/>
    </sheetView>
  </sheetViews>
  <sheetFormatPr defaultRowHeight="15"/>
  <sheetData>
    <row r="1" spans="1:19">
      <c r="A1" s="285" t="s">
        <v>253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08"/>
      <c r="Q1" s="115"/>
      <c r="R1" s="115"/>
      <c r="S1" s="115"/>
    </row>
    <row r="2" spans="1:19">
      <c r="A2" s="287"/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09"/>
      <c r="Q2" s="115"/>
      <c r="R2" s="115"/>
      <c r="S2" s="115"/>
    </row>
    <row r="3" spans="1:19">
      <c r="A3" s="287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09"/>
      <c r="Q3" s="115"/>
      <c r="R3" s="115"/>
      <c r="S3" s="115"/>
    </row>
    <row r="4" spans="1:19">
      <c r="A4" s="306" t="s">
        <v>460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209"/>
      <c r="Q4" s="115"/>
      <c r="R4" s="115"/>
      <c r="S4" s="115"/>
    </row>
    <row r="5" spans="1:19" ht="18.75">
      <c r="A5" s="308" t="s">
        <v>246</v>
      </c>
      <c r="B5" s="309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209"/>
      <c r="Q5" s="115"/>
      <c r="R5" s="115"/>
      <c r="S5" s="115"/>
    </row>
    <row r="6" spans="1:19">
      <c r="A6" s="306" t="s">
        <v>459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209"/>
      <c r="Q6" s="115"/>
      <c r="R6" s="115"/>
      <c r="S6" s="115"/>
    </row>
    <row r="7" spans="1:19">
      <c r="A7" s="289" t="s">
        <v>33</v>
      </c>
      <c r="B7" s="290"/>
      <c r="C7" s="290"/>
      <c r="D7" s="290"/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09"/>
      <c r="Q7" s="115"/>
      <c r="R7" s="115"/>
      <c r="S7" s="115"/>
    </row>
    <row r="8" spans="1:19" ht="15.75" thickBot="1">
      <c r="A8" s="210"/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209"/>
      <c r="Q8" s="115"/>
      <c r="R8" s="115"/>
      <c r="S8" s="115"/>
    </row>
    <row r="9" spans="1:19" ht="19.5" thickBot="1">
      <c r="A9" s="210"/>
      <c r="B9" s="291" t="s">
        <v>30</v>
      </c>
      <c r="C9" s="292"/>
      <c r="D9" s="292"/>
      <c r="E9" s="293"/>
      <c r="F9" s="115"/>
      <c r="G9" s="115"/>
      <c r="H9" s="115"/>
      <c r="I9" s="291" t="s">
        <v>31</v>
      </c>
      <c r="J9" s="292"/>
      <c r="K9" s="292"/>
      <c r="L9" s="293"/>
      <c r="M9" s="115"/>
      <c r="N9" s="115"/>
      <c r="O9" s="115"/>
      <c r="P9" s="209"/>
      <c r="Q9" s="115"/>
      <c r="R9" s="115"/>
      <c r="S9" s="115"/>
    </row>
    <row r="10" spans="1:19" ht="15" customHeight="1">
      <c r="A10" s="210"/>
      <c r="B10" s="300">
        <v>175</v>
      </c>
      <c r="C10" s="301"/>
      <c r="D10" s="301"/>
      <c r="E10" s="302"/>
      <c r="F10" s="115"/>
      <c r="G10" s="115"/>
      <c r="I10" s="294">
        <v>0.75</v>
      </c>
      <c r="J10" s="295"/>
      <c r="K10" s="295"/>
      <c r="L10" s="296"/>
      <c r="M10" s="115"/>
      <c r="N10" s="115"/>
      <c r="O10" s="115"/>
      <c r="P10" s="209"/>
      <c r="Q10" s="115"/>
      <c r="R10" s="115"/>
      <c r="S10" s="115"/>
    </row>
    <row r="11" spans="1:19" ht="15.75" customHeight="1" thickBot="1">
      <c r="A11" s="210"/>
      <c r="B11" s="303"/>
      <c r="C11" s="304"/>
      <c r="D11" s="304"/>
      <c r="E11" s="305"/>
      <c r="F11" s="115"/>
      <c r="G11" s="115"/>
      <c r="H11" s="115"/>
      <c r="I11" s="297"/>
      <c r="J11" s="298"/>
      <c r="K11" s="298"/>
      <c r="L11" s="299"/>
      <c r="M11" s="115"/>
      <c r="N11" s="115"/>
      <c r="O11" s="115"/>
      <c r="P11" s="209"/>
      <c r="Q11" s="115"/>
      <c r="R11" s="115"/>
      <c r="S11" s="115"/>
    </row>
    <row r="12" spans="1:19">
      <c r="A12" s="210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209"/>
      <c r="Q12" s="115"/>
      <c r="R12" s="115"/>
      <c r="S12" s="115"/>
    </row>
    <row r="13" spans="1:19">
      <c r="A13" s="210"/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209"/>
      <c r="Q13" s="115"/>
      <c r="R13" s="115"/>
      <c r="S13" s="115"/>
    </row>
    <row r="14" spans="1:19">
      <c r="A14" s="210"/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209"/>
      <c r="Q14" s="115"/>
      <c r="R14" s="115"/>
      <c r="S14" s="115"/>
    </row>
    <row r="15" spans="1:19">
      <c r="A15" s="210"/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209"/>
      <c r="Q15" s="115"/>
      <c r="R15" s="115"/>
      <c r="S15" s="115"/>
    </row>
    <row r="16" spans="1:19">
      <c r="A16" s="210"/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209"/>
      <c r="Q16" s="115"/>
      <c r="R16" s="115"/>
      <c r="S16" s="115"/>
    </row>
    <row r="17" spans="1:19">
      <c r="A17" s="210"/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209"/>
      <c r="Q17" s="115"/>
      <c r="R17" s="115"/>
      <c r="S17" s="115"/>
    </row>
    <row r="18" spans="1:19">
      <c r="A18" s="210"/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209"/>
      <c r="Q18" s="115"/>
      <c r="R18" s="115"/>
      <c r="S18" s="115"/>
    </row>
    <row r="19" spans="1:19">
      <c r="A19" s="210"/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209"/>
      <c r="Q19" s="115"/>
      <c r="R19" s="115"/>
      <c r="S19" s="115"/>
    </row>
    <row r="20" spans="1:19">
      <c r="A20" s="210"/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209"/>
      <c r="Q20" s="115"/>
      <c r="R20" s="115"/>
      <c r="S20" s="115"/>
    </row>
    <row r="21" spans="1:19">
      <c r="A21" s="210"/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209"/>
      <c r="Q21" s="115"/>
      <c r="R21" s="115"/>
      <c r="S21" s="115"/>
    </row>
    <row r="22" spans="1:19">
      <c r="A22" s="210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209"/>
      <c r="Q22" s="115"/>
      <c r="R22" s="115"/>
      <c r="S22" s="115"/>
    </row>
    <row r="23" spans="1:19">
      <c r="A23" s="210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209"/>
      <c r="Q23" s="115"/>
      <c r="R23" s="115"/>
      <c r="S23" s="115"/>
    </row>
    <row r="24" spans="1:19">
      <c r="A24" s="210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209"/>
      <c r="Q24" s="115"/>
      <c r="R24" s="115"/>
      <c r="S24" s="115"/>
    </row>
    <row r="25" spans="1:19">
      <c r="A25" s="210"/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209"/>
      <c r="Q25" s="115"/>
      <c r="R25" s="115"/>
      <c r="S25" s="115"/>
    </row>
    <row r="26" spans="1:19">
      <c r="A26" s="210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209"/>
      <c r="Q26" s="115"/>
      <c r="R26" s="115"/>
      <c r="S26" s="115"/>
    </row>
    <row r="27" spans="1:19">
      <c r="A27" s="210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209"/>
      <c r="Q27" s="115"/>
      <c r="R27" s="115"/>
      <c r="S27" s="115"/>
    </row>
    <row r="28" spans="1:19">
      <c r="A28" s="210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209"/>
      <c r="Q28" s="115"/>
      <c r="R28" s="115"/>
      <c r="S28" s="115"/>
    </row>
    <row r="29" spans="1:19">
      <c r="A29" s="210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209"/>
      <c r="Q29" s="115"/>
      <c r="R29" s="115"/>
      <c r="S29" s="115"/>
    </row>
    <row r="30" spans="1:19">
      <c r="A30" s="210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209"/>
      <c r="Q30" s="115"/>
      <c r="R30" s="115"/>
      <c r="S30" s="115"/>
    </row>
    <row r="31" spans="1:19">
      <c r="A31" s="210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209"/>
      <c r="Q31" s="115"/>
      <c r="R31" s="115"/>
      <c r="S31" s="115"/>
    </row>
    <row r="32" spans="1:19">
      <c r="A32" s="210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209"/>
      <c r="Q32" s="115"/>
      <c r="R32" s="115"/>
      <c r="S32" s="115"/>
    </row>
    <row r="33" spans="1:19">
      <c r="A33" s="210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209"/>
      <c r="Q33" s="115"/>
      <c r="R33" s="115"/>
      <c r="S33" s="115"/>
    </row>
    <row r="34" spans="1:19">
      <c r="A34" s="210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209"/>
      <c r="Q34" s="115"/>
      <c r="R34" s="115"/>
      <c r="S34" s="115"/>
    </row>
    <row r="35" spans="1:19">
      <c r="A35" s="210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209"/>
      <c r="Q35" s="115"/>
      <c r="R35" s="115"/>
      <c r="S35" s="115"/>
    </row>
    <row r="36" spans="1:19">
      <c r="A36" s="210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209"/>
      <c r="Q36" s="115"/>
      <c r="R36" s="115"/>
      <c r="S36" s="115"/>
    </row>
    <row r="37" spans="1:19">
      <c r="A37" s="210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209"/>
      <c r="Q37" s="115"/>
      <c r="R37" s="115"/>
      <c r="S37" s="115"/>
    </row>
    <row r="38" spans="1:19" ht="15.75" thickBot="1">
      <c r="A38" s="211"/>
      <c r="B38" s="212"/>
      <c r="C38" s="212"/>
      <c r="D38" s="212"/>
      <c r="E38" s="212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3"/>
      <c r="Q38" s="115"/>
      <c r="R38" s="115"/>
      <c r="S38" s="115"/>
    </row>
    <row r="39" spans="1:19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</row>
    <row r="40" spans="1:19">
      <c r="A40" s="115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</row>
    <row r="41" spans="1:19">
      <c r="A41" s="115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</row>
    <row r="42" spans="1:19">
      <c r="A42" s="115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</row>
    <row r="43" spans="1:19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</row>
    <row r="44" spans="1:19">
      <c r="A44" s="115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</row>
    <row r="45" spans="1:19">
      <c r="A45" s="115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 t="s">
        <v>247</v>
      </c>
    </row>
    <row r="46" spans="1:19">
      <c r="A46" s="115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</row>
    <row r="47" spans="1:19">
      <c r="A47" s="115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</row>
    <row r="48" spans="1:19">
      <c r="A48" s="115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</row>
    <row r="49" spans="1:22">
      <c r="A49" s="115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</row>
    <row r="50" spans="1:22">
      <c r="A50" s="115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</row>
    <row r="51" spans="1:22">
      <c r="A51" s="115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</row>
    <row r="52" spans="1:22">
      <c r="A52" s="115"/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</row>
    <row r="53" spans="1:22">
      <c r="A53" s="115"/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</row>
    <row r="54" spans="1:22">
      <c r="A54" s="115"/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</row>
    <row r="55" spans="1:22">
      <c r="A55" s="115"/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</row>
    <row r="56" spans="1:22">
      <c r="A56" s="115"/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</row>
    <row r="57" spans="1:22">
      <c r="A57" s="115"/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</row>
    <row r="58" spans="1:22">
      <c r="A58" s="115"/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</row>
    <row r="59" spans="1:22">
      <c r="A59" s="115"/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</row>
    <row r="60" spans="1:22">
      <c r="A60" s="115"/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V60" s="284"/>
    </row>
  </sheetData>
  <mergeCells count="9">
    <mergeCell ref="A1:O3"/>
    <mergeCell ref="A7:O7"/>
    <mergeCell ref="B9:E9"/>
    <mergeCell ref="I9:L9"/>
    <mergeCell ref="I10:L11"/>
    <mergeCell ref="B10:E11"/>
    <mergeCell ref="A4:O4"/>
    <mergeCell ref="A5:O5"/>
    <mergeCell ref="A6:O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EDD91-9E72-4CB0-8A85-3399007DF4BD}">
  <sheetPr codeName="Sheet9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RowHeight="15"/>
  <cols>
    <col min="1" max="1" width="8.7109375" style="8" customWidth="1"/>
    <col min="2" max="2" width="73" bestFit="1" customWidth="1"/>
    <col min="3" max="3" width="12.7109375" style="15" customWidth="1"/>
    <col min="4" max="5" width="12.7109375" customWidth="1"/>
    <col min="6" max="6" width="12.7109375" style="5" customWidth="1"/>
    <col min="7" max="9" width="12.7109375" customWidth="1"/>
    <col min="11" max="11" width="19.7109375" bestFit="1" customWidth="1"/>
    <col min="12" max="12" width="11.7109375" customWidth="1"/>
  </cols>
  <sheetData>
    <row r="1" spans="1:10" ht="24" thickBot="1">
      <c r="A1" s="325" t="s">
        <v>405</v>
      </c>
      <c r="B1" s="310"/>
      <c r="C1" s="310"/>
      <c r="D1" s="310"/>
      <c r="E1" s="310"/>
      <c r="F1" s="310"/>
      <c r="G1" s="310"/>
      <c r="H1" s="310"/>
      <c r="I1" s="311"/>
    </row>
    <row r="2" spans="1:10" s="5" customFormat="1" ht="12" customHeight="1" thickBot="1">
      <c r="A2" s="27"/>
      <c r="B2" s="27"/>
      <c r="C2" s="22"/>
      <c r="D2" s="22"/>
      <c r="E2" s="22"/>
      <c r="F2" s="22"/>
      <c r="G2" s="22"/>
      <c r="H2" s="22"/>
      <c r="I2" s="22"/>
      <c r="J2" s="23"/>
    </row>
    <row r="3" spans="1:10" ht="24" thickBot="1">
      <c r="A3" s="55"/>
      <c r="B3" s="29"/>
      <c r="C3" s="312" t="s">
        <v>170</v>
      </c>
      <c r="D3" s="313"/>
      <c r="E3" s="56"/>
      <c r="F3" s="312" t="s">
        <v>171</v>
      </c>
      <c r="G3" s="313"/>
      <c r="H3" s="312" t="s">
        <v>172</v>
      </c>
      <c r="I3" s="313"/>
    </row>
    <row r="4" spans="1:10" ht="45.75" customHeight="1" thickBot="1">
      <c r="A4" s="33" t="s">
        <v>0</v>
      </c>
      <c r="B4" s="31" t="s">
        <v>1</v>
      </c>
      <c r="C4" s="32" t="s">
        <v>197</v>
      </c>
      <c r="D4" s="166" t="s">
        <v>198</v>
      </c>
      <c r="E4" s="167" t="s">
        <v>202</v>
      </c>
      <c r="F4" s="168" t="s">
        <v>2</v>
      </c>
      <c r="G4" s="169" t="s">
        <v>5</v>
      </c>
      <c r="H4" s="170" t="s">
        <v>7</v>
      </c>
      <c r="I4" s="137" t="s">
        <v>8</v>
      </c>
    </row>
    <row r="5" spans="1:10">
      <c r="A5" s="248" t="s">
        <v>9</v>
      </c>
      <c r="B5" s="249" t="s">
        <v>424</v>
      </c>
      <c r="C5" s="244">
        <v>725.25</v>
      </c>
      <c r="D5" s="245">
        <v>750</v>
      </c>
      <c r="E5" s="238">
        <f t="shared" ref="E5:E17" si="0">D5-C5</f>
        <v>24.75</v>
      </c>
      <c r="F5" s="202">
        <f ca="1">_xlfn.XLOOKUP(A5,'26 Hummer SUT Ref'!A:A,'26 Hummer SUT Ref'!B:B,"")</f>
        <v>1.2</v>
      </c>
      <c r="G5" s="188">
        <f t="shared" ref="G5:G39" ca="1" si="1">(F5*Labor)*SvcGross</f>
        <v>157.5</v>
      </c>
      <c r="H5" s="189">
        <f t="shared" ref="H5:H17" ca="1" si="2">G5+E5</f>
        <v>182.25</v>
      </c>
      <c r="I5" s="190">
        <f t="shared" ref="I5:I17" ca="1" si="3">H5/C5</f>
        <v>0.25129265770423992</v>
      </c>
    </row>
    <row r="6" spans="1:10">
      <c r="A6" s="250" t="s">
        <v>269</v>
      </c>
      <c r="B6" s="251" t="s">
        <v>425</v>
      </c>
      <c r="C6" s="246">
        <v>14408</v>
      </c>
      <c r="D6" s="247">
        <v>14900</v>
      </c>
      <c r="E6" s="197">
        <f t="shared" si="0"/>
        <v>492</v>
      </c>
      <c r="F6" s="196">
        <f ca="1">_xlfn.XLOOKUP(A6,'26 Hummer SUT Ref'!A:A,'26 Hummer SUT Ref'!B:B,"")</f>
        <v>1.1000000000000001</v>
      </c>
      <c r="G6" s="142">
        <f t="shared" ca="1" si="1"/>
        <v>144.37500000000003</v>
      </c>
      <c r="H6" s="179">
        <f t="shared" ca="1" si="2"/>
        <v>636.375</v>
      </c>
      <c r="I6" s="132">
        <f t="shared" ca="1" si="3"/>
        <v>4.4168170460855083E-2</v>
      </c>
    </row>
    <row r="7" spans="1:10">
      <c r="A7" s="250" t="s">
        <v>270</v>
      </c>
      <c r="B7" s="251" t="s">
        <v>426</v>
      </c>
      <c r="C7" s="246">
        <v>9665</v>
      </c>
      <c r="D7" s="247">
        <v>9995</v>
      </c>
      <c r="E7" s="197">
        <f t="shared" si="0"/>
        <v>330</v>
      </c>
      <c r="F7" s="196">
        <f ca="1">_xlfn.XLOOKUP(A7,'26 Hummer SUT Ref'!A:A,'26 Hummer SUT Ref'!B:B,"")</f>
        <v>1.1000000000000001</v>
      </c>
      <c r="G7" s="142">
        <f t="shared" ca="1" si="1"/>
        <v>144.37500000000003</v>
      </c>
      <c r="H7" s="179">
        <f t="shared" ca="1" si="2"/>
        <v>474.375</v>
      </c>
      <c r="I7" s="132">
        <f t="shared" ca="1" si="3"/>
        <v>4.9081738230729435E-2</v>
      </c>
    </row>
    <row r="8" spans="1:10">
      <c r="A8" s="241" t="s">
        <v>70</v>
      </c>
      <c r="B8" s="155" t="s">
        <v>415</v>
      </c>
      <c r="C8" s="70">
        <v>3863.17</v>
      </c>
      <c r="D8" s="149">
        <v>3995</v>
      </c>
      <c r="E8" s="197">
        <f t="shared" si="0"/>
        <v>131.82999999999993</v>
      </c>
      <c r="F8" s="196">
        <f ca="1">_xlfn.XLOOKUP(A8,'26 Hummer SUT Ref'!A:A,'26 Hummer SUT Ref'!B:B,"")</f>
        <v>0.8</v>
      </c>
      <c r="G8" s="142">
        <f t="shared" ca="1" si="1"/>
        <v>105</v>
      </c>
      <c r="H8" s="179">
        <f t="shared" ca="1" si="2"/>
        <v>236.82999999999993</v>
      </c>
      <c r="I8" s="132">
        <f t="shared" ca="1" si="3"/>
        <v>6.1304576293562001E-2</v>
      </c>
    </row>
    <row r="9" spans="1:10">
      <c r="A9" s="241" t="s">
        <v>97</v>
      </c>
      <c r="B9" s="155" t="s">
        <v>416</v>
      </c>
      <c r="C9" s="70">
        <v>1929.17</v>
      </c>
      <c r="D9" s="149">
        <v>1995</v>
      </c>
      <c r="E9" s="197">
        <f t="shared" si="0"/>
        <v>65.829999999999927</v>
      </c>
      <c r="F9" s="196">
        <f ca="1">_xlfn.XLOOKUP(A9,'26 Hummer SUT Ref'!A:A,'26 Hummer SUT Ref'!B:B,"")</f>
        <v>4</v>
      </c>
      <c r="G9" s="142">
        <f t="shared" ca="1" si="1"/>
        <v>525</v>
      </c>
      <c r="H9" s="179">
        <f t="shared" ca="1" si="2"/>
        <v>590.82999999999993</v>
      </c>
      <c r="I9" s="132">
        <f t="shared" ca="1" si="3"/>
        <v>0.3062612418812235</v>
      </c>
    </row>
    <row r="10" spans="1:10">
      <c r="A10" s="241" t="s">
        <v>150</v>
      </c>
      <c r="B10" s="155" t="s">
        <v>417</v>
      </c>
      <c r="C10" s="70">
        <v>6212.98</v>
      </c>
      <c r="D10" s="149">
        <v>6425</v>
      </c>
      <c r="E10" s="197">
        <f t="shared" si="0"/>
        <v>212.02000000000044</v>
      </c>
      <c r="F10" s="196">
        <f ca="1">_xlfn.XLOOKUP(A10,'26 Hummer SUT Ref'!A:A,'26 Hummer SUT Ref'!B:B,"")</f>
        <v>1.8</v>
      </c>
      <c r="G10" s="142">
        <f t="shared" ca="1" si="1"/>
        <v>236.25</v>
      </c>
      <c r="H10" s="179">
        <f t="shared" ca="1" si="2"/>
        <v>448.27000000000044</v>
      </c>
      <c r="I10" s="132">
        <f t="shared" ca="1" si="3"/>
        <v>7.2150562210082841E-2</v>
      </c>
    </row>
    <row r="11" spans="1:10">
      <c r="A11" s="241" t="s">
        <v>69</v>
      </c>
      <c r="B11" s="155" t="s">
        <v>418</v>
      </c>
      <c r="C11" s="70">
        <v>1208.75</v>
      </c>
      <c r="D11" s="149">
        <v>1250</v>
      </c>
      <c r="E11" s="197">
        <f t="shared" si="0"/>
        <v>41.25</v>
      </c>
      <c r="F11" s="196">
        <f ca="1">_xlfn.XLOOKUP(A11,'26 Hummer SUT Ref'!A:A,'26 Hummer SUT Ref'!B:B,"")</f>
        <v>0.9</v>
      </c>
      <c r="G11" s="142">
        <f t="shared" ca="1" si="1"/>
        <v>118.125</v>
      </c>
      <c r="H11" s="179">
        <f t="shared" ca="1" si="2"/>
        <v>159.375</v>
      </c>
      <c r="I11" s="132">
        <f t="shared" ca="1" si="3"/>
        <v>0.13185108583247157</v>
      </c>
    </row>
    <row r="12" spans="1:10">
      <c r="A12" s="241" t="s">
        <v>20</v>
      </c>
      <c r="B12" s="155" t="s">
        <v>419</v>
      </c>
      <c r="C12" s="70">
        <v>1445.67</v>
      </c>
      <c r="D12" s="149">
        <v>1495</v>
      </c>
      <c r="E12" s="197">
        <f t="shared" si="0"/>
        <v>49.329999999999927</v>
      </c>
      <c r="F12" s="196">
        <f ca="1">_xlfn.XLOOKUP(A12,'26 Hummer SUT Ref'!A:A,'26 Hummer SUT Ref'!B:B,"")</f>
        <v>2.2000000000000002</v>
      </c>
      <c r="G12" s="142">
        <f t="shared" ca="1" si="1"/>
        <v>288.75000000000006</v>
      </c>
      <c r="H12" s="179">
        <f t="shared" ca="1" si="2"/>
        <v>338.08</v>
      </c>
      <c r="I12" s="132">
        <f t="shared" ca="1" si="3"/>
        <v>0.23385696597425412</v>
      </c>
    </row>
    <row r="13" spans="1:10" ht="15.75" thickBot="1">
      <c r="A13" s="242" t="s">
        <v>122</v>
      </c>
      <c r="B13" s="243" t="s">
        <v>420</v>
      </c>
      <c r="C13" s="150">
        <v>8601.4699999999993</v>
      </c>
      <c r="D13" s="151">
        <v>8895</v>
      </c>
      <c r="E13" s="197">
        <f t="shared" si="0"/>
        <v>293.53000000000065</v>
      </c>
      <c r="F13" s="196">
        <f ca="1">_xlfn.XLOOKUP(A13,'26 Hummer SUT Ref'!A:A,'26 Hummer SUT Ref'!B:B,"")</f>
        <v>5.5</v>
      </c>
      <c r="G13" s="142">
        <f t="shared" ca="1" si="1"/>
        <v>721.875</v>
      </c>
      <c r="H13" s="179">
        <f t="shared" ca="1" si="2"/>
        <v>1015.4050000000007</v>
      </c>
      <c r="I13" s="132">
        <f t="shared" ca="1" si="3"/>
        <v>0.1180501704941133</v>
      </c>
    </row>
    <row r="14" spans="1:10">
      <c r="A14" s="239" t="s">
        <v>271</v>
      </c>
      <c r="B14" s="239" t="s">
        <v>272</v>
      </c>
      <c r="C14" s="240">
        <v>3766.47</v>
      </c>
      <c r="D14" s="240">
        <v>3895</v>
      </c>
      <c r="E14" s="142">
        <f>D14-C14</f>
        <v>128.5300000000002</v>
      </c>
      <c r="F14" s="196">
        <f>_xlfn.XLOOKUP(A14,'26 Hummer SUT Ref'!A:A,'26 Hummer SUT Ref'!B:B,"")</f>
        <v>3.4</v>
      </c>
      <c r="G14" s="142">
        <f>(F14*Labor)*SvcGross</f>
        <v>446.25</v>
      </c>
      <c r="H14" s="179">
        <f>G14+E14</f>
        <v>574.7800000000002</v>
      </c>
      <c r="I14" s="132">
        <f>H14/C14</f>
        <v>0.15260442801880814</v>
      </c>
    </row>
    <row r="15" spans="1:10">
      <c r="A15" s="154" t="s">
        <v>162</v>
      </c>
      <c r="B15" s="154" t="s">
        <v>273</v>
      </c>
      <c r="C15" s="61">
        <v>188.57</v>
      </c>
      <c r="D15" s="61">
        <v>195</v>
      </c>
      <c r="E15" s="142">
        <f t="shared" si="0"/>
        <v>6.4300000000000068</v>
      </c>
      <c r="F15" s="196">
        <f>_xlfn.XLOOKUP(A15,'26 Hummer SUT Ref'!A:A,'26 Hummer SUT Ref'!B:B,"")</f>
        <v>0.1</v>
      </c>
      <c r="G15" s="142">
        <f t="shared" si="1"/>
        <v>13.125</v>
      </c>
      <c r="H15" s="179">
        <f t="shared" si="2"/>
        <v>19.555000000000007</v>
      </c>
      <c r="I15" s="132">
        <f t="shared" si="3"/>
        <v>0.10370154319350908</v>
      </c>
    </row>
    <row r="16" spans="1:10" ht="15.75" thickBot="1">
      <c r="A16" s="154" t="s">
        <v>274</v>
      </c>
      <c r="B16" s="154" t="s">
        <v>275</v>
      </c>
      <c r="C16" s="61">
        <v>1619.73</v>
      </c>
      <c r="D16" s="61">
        <v>1675</v>
      </c>
      <c r="E16" s="191">
        <f t="shared" si="0"/>
        <v>55.269999999999982</v>
      </c>
      <c r="F16" s="203">
        <f>_xlfn.XLOOKUP(A16,'26 Hummer SUT Ref'!A:A,'26 Hummer SUT Ref'!B:B,"")</f>
        <v>0.2</v>
      </c>
      <c r="G16" s="191">
        <f t="shared" si="1"/>
        <v>26.25</v>
      </c>
      <c r="H16" s="192">
        <f t="shared" si="2"/>
        <v>81.519999999999982</v>
      </c>
      <c r="I16" s="204">
        <f t="shared" si="3"/>
        <v>5.0329375883634918E-2</v>
      </c>
    </row>
    <row r="17" spans="1:9">
      <c r="A17" s="154" t="s">
        <v>276</v>
      </c>
      <c r="B17" s="154" t="s">
        <v>277</v>
      </c>
      <c r="C17" s="61">
        <v>4346.67</v>
      </c>
      <c r="D17" s="61">
        <v>4495</v>
      </c>
      <c r="E17" s="198">
        <f t="shared" si="0"/>
        <v>148.32999999999993</v>
      </c>
      <c r="F17" s="199">
        <f>_xlfn.XLOOKUP(A17,'26 Hummer SUT Ref'!A:A,'26 Hummer SUT Ref'!B:B,"")</f>
        <v>0.3</v>
      </c>
      <c r="G17" s="198">
        <f t="shared" si="1"/>
        <v>39.375</v>
      </c>
      <c r="H17" s="200">
        <f t="shared" si="2"/>
        <v>187.70499999999993</v>
      </c>
      <c r="I17" s="201">
        <f t="shared" si="3"/>
        <v>4.3183632527889149E-2</v>
      </c>
    </row>
    <row r="18" spans="1:9">
      <c r="A18" s="154" t="s">
        <v>93</v>
      </c>
      <c r="B18" s="154" t="s">
        <v>278</v>
      </c>
      <c r="C18" s="61">
        <v>314.27999999999997</v>
      </c>
      <c r="D18" s="61">
        <v>325</v>
      </c>
      <c r="E18" s="142">
        <f t="shared" ref="E18:E39" si="4">D18-C18</f>
        <v>10.720000000000027</v>
      </c>
      <c r="F18" s="196">
        <f>_xlfn.XLOOKUP(A18,'26 Hummer SUT Ref'!A:A,'26 Hummer SUT Ref'!B:B,"")</f>
        <v>0.1</v>
      </c>
      <c r="G18" s="142">
        <f t="shared" si="1"/>
        <v>13.125</v>
      </c>
      <c r="H18" s="179">
        <f t="shared" ref="H18:H35" si="5">G18+E18</f>
        <v>23.845000000000027</v>
      </c>
      <c r="I18" s="144">
        <f t="shared" ref="I18:I35" si="6">H18/C18</f>
        <v>7.5871834033346158E-2</v>
      </c>
    </row>
    <row r="19" spans="1:9">
      <c r="A19" s="154" t="s">
        <v>111</v>
      </c>
      <c r="B19" s="154" t="s">
        <v>279</v>
      </c>
      <c r="C19" s="61">
        <v>962.17</v>
      </c>
      <c r="D19" s="61">
        <v>995</v>
      </c>
      <c r="E19" s="142">
        <f t="shared" si="4"/>
        <v>32.830000000000041</v>
      </c>
      <c r="F19" s="196">
        <f>_xlfn.XLOOKUP(A19,'26 Hummer SUT Ref'!A:A,'26 Hummer SUT Ref'!B:B,"")</f>
        <v>1.5</v>
      </c>
      <c r="G19" s="142">
        <f t="shared" si="1"/>
        <v>196.875</v>
      </c>
      <c r="H19" s="179">
        <f t="shared" si="5"/>
        <v>229.70500000000004</v>
      </c>
      <c r="I19" s="144">
        <f t="shared" si="6"/>
        <v>0.23873639793383711</v>
      </c>
    </row>
    <row r="20" spans="1:9">
      <c r="A20" s="154" t="s">
        <v>280</v>
      </c>
      <c r="B20" s="154" t="s">
        <v>281</v>
      </c>
      <c r="C20" s="61">
        <v>2315.9699999999998</v>
      </c>
      <c r="D20" s="61">
        <v>2395</v>
      </c>
      <c r="E20" s="142">
        <f t="shared" si="4"/>
        <v>79.0300000000002</v>
      </c>
      <c r="F20" s="196">
        <f>_xlfn.XLOOKUP(A20,'26 Hummer SUT Ref'!A:A,'26 Hummer SUT Ref'!B:B,"")</f>
        <v>1</v>
      </c>
      <c r="G20" s="142">
        <f t="shared" si="1"/>
        <v>131.25</v>
      </c>
      <c r="H20" s="179">
        <f t="shared" si="5"/>
        <v>210.2800000000002</v>
      </c>
      <c r="I20" s="144">
        <f t="shared" si="6"/>
        <v>9.0795649339153878E-2</v>
      </c>
    </row>
    <row r="21" spans="1:9">
      <c r="A21" s="154" t="s">
        <v>282</v>
      </c>
      <c r="B21" s="154" t="s">
        <v>283</v>
      </c>
      <c r="C21" s="61">
        <v>768.77</v>
      </c>
      <c r="D21" s="61">
        <v>795</v>
      </c>
      <c r="E21" s="142">
        <f t="shared" si="4"/>
        <v>26.230000000000018</v>
      </c>
      <c r="F21" s="196">
        <f>_xlfn.XLOOKUP(A21,'26 Hummer SUT Ref'!A:A,'26 Hummer SUT Ref'!B:B,"")</f>
        <v>0.1</v>
      </c>
      <c r="G21" s="142">
        <f t="shared" si="1"/>
        <v>13.125</v>
      </c>
      <c r="H21" s="179">
        <f t="shared" si="5"/>
        <v>39.355000000000018</v>
      </c>
      <c r="I21" s="144">
        <f t="shared" si="6"/>
        <v>5.1192164106299697E-2</v>
      </c>
    </row>
    <row r="22" spans="1:9">
      <c r="A22" s="154" t="s">
        <v>284</v>
      </c>
      <c r="B22" s="154" t="s">
        <v>285</v>
      </c>
      <c r="C22" s="61">
        <v>1929.17</v>
      </c>
      <c r="D22" s="61">
        <v>1995</v>
      </c>
      <c r="E22" s="142">
        <f t="shared" si="4"/>
        <v>65.829999999999927</v>
      </c>
      <c r="F22" s="196">
        <f>_xlfn.XLOOKUP(A22,'26 Hummer SUT Ref'!A:A,'26 Hummer SUT Ref'!B:B,"")</f>
        <v>0.2</v>
      </c>
      <c r="G22" s="142">
        <f t="shared" si="1"/>
        <v>26.25</v>
      </c>
      <c r="H22" s="179">
        <f t="shared" si="5"/>
        <v>92.079999999999927</v>
      </c>
      <c r="I22" s="144">
        <f t="shared" si="6"/>
        <v>4.7730371092231334E-2</v>
      </c>
    </row>
    <row r="23" spans="1:9">
      <c r="A23" s="154" t="s">
        <v>15</v>
      </c>
      <c r="B23" s="154" t="s">
        <v>238</v>
      </c>
      <c r="C23" s="61">
        <v>120.88</v>
      </c>
      <c r="D23" s="61">
        <v>125</v>
      </c>
      <c r="E23" s="142">
        <f t="shared" si="4"/>
        <v>4.1200000000000045</v>
      </c>
      <c r="F23" s="196">
        <f>_xlfn.XLOOKUP(A23,'26 Hummer SUT Ref'!A:A,'26 Hummer SUT Ref'!B:B,"")</f>
        <v>0.1</v>
      </c>
      <c r="G23" s="142">
        <f t="shared" si="1"/>
        <v>13.125</v>
      </c>
      <c r="H23" s="179">
        <f t="shared" si="5"/>
        <v>17.245000000000005</v>
      </c>
      <c r="I23" s="144">
        <f t="shared" si="6"/>
        <v>0.1426621442753144</v>
      </c>
    </row>
    <row r="24" spans="1:9">
      <c r="A24" s="154" t="s">
        <v>286</v>
      </c>
      <c r="B24" s="154" t="s">
        <v>287</v>
      </c>
      <c r="C24" s="61">
        <v>2896.17</v>
      </c>
      <c r="D24" s="61">
        <v>2995</v>
      </c>
      <c r="E24" s="142">
        <f t="shared" si="4"/>
        <v>98.829999999999927</v>
      </c>
      <c r="F24" s="196">
        <f>_xlfn.XLOOKUP(A24,'26 Hummer SUT Ref'!A:A,'26 Hummer SUT Ref'!B:B,"")</f>
        <v>0.8</v>
      </c>
      <c r="G24" s="142">
        <f t="shared" si="1"/>
        <v>105</v>
      </c>
      <c r="H24" s="179">
        <f t="shared" si="5"/>
        <v>203.82999999999993</v>
      </c>
      <c r="I24" s="144">
        <f t="shared" si="6"/>
        <v>7.0379155919714637E-2</v>
      </c>
    </row>
    <row r="25" spans="1:9">
      <c r="A25" s="154" t="s">
        <v>124</v>
      </c>
      <c r="B25" s="154" t="s">
        <v>288</v>
      </c>
      <c r="C25" s="61">
        <v>3863.17</v>
      </c>
      <c r="D25" s="61">
        <v>3995</v>
      </c>
      <c r="E25" s="142">
        <f t="shared" si="4"/>
        <v>131.82999999999993</v>
      </c>
      <c r="F25" s="196">
        <f>_xlfn.XLOOKUP(A25,'26 Hummer SUT Ref'!A:A,'26 Hummer SUT Ref'!B:B,"")</f>
        <v>0.8</v>
      </c>
      <c r="G25" s="142">
        <f t="shared" si="1"/>
        <v>105</v>
      </c>
      <c r="H25" s="179">
        <f t="shared" si="5"/>
        <v>236.82999999999993</v>
      </c>
      <c r="I25" s="144">
        <f t="shared" si="6"/>
        <v>6.1304576293562001E-2</v>
      </c>
    </row>
    <row r="26" spans="1:9">
      <c r="A26" s="154" t="s">
        <v>105</v>
      </c>
      <c r="B26" s="154" t="s">
        <v>289</v>
      </c>
      <c r="C26" s="61">
        <v>459.33</v>
      </c>
      <c r="D26" s="61">
        <v>475</v>
      </c>
      <c r="E26" s="142">
        <f t="shared" si="4"/>
        <v>15.670000000000016</v>
      </c>
      <c r="F26" s="196">
        <f>_xlfn.XLOOKUP(A26,'26 Hummer SUT Ref'!A:A,'26 Hummer SUT Ref'!B:B,"")</f>
        <v>0.4</v>
      </c>
      <c r="G26" s="142">
        <f t="shared" si="1"/>
        <v>52.5</v>
      </c>
      <c r="H26" s="179">
        <f t="shared" si="5"/>
        <v>68.170000000000016</v>
      </c>
      <c r="I26" s="144">
        <f t="shared" si="6"/>
        <v>0.14841181721202626</v>
      </c>
    </row>
    <row r="27" spans="1:9">
      <c r="A27" s="154" t="s">
        <v>81</v>
      </c>
      <c r="B27" s="154" t="s">
        <v>290</v>
      </c>
      <c r="C27" s="61">
        <v>125.71</v>
      </c>
      <c r="D27" s="61">
        <v>130</v>
      </c>
      <c r="E27" s="142">
        <f t="shared" si="4"/>
        <v>4.2900000000000063</v>
      </c>
      <c r="F27" s="196">
        <f>_xlfn.XLOOKUP(A27,'26 Hummer SUT Ref'!A:A,'26 Hummer SUT Ref'!B:B,"")</f>
        <v>0.1</v>
      </c>
      <c r="G27" s="142">
        <f t="shared" si="1"/>
        <v>13.125</v>
      </c>
      <c r="H27" s="179">
        <f t="shared" si="5"/>
        <v>17.415000000000006</v>
      </c>
      <c r="I27" s="144">
        <f t="shared" si="6"/>
        <v>0.1385331318113118</v>
      </c>
    </row>
    <row r="28" spans="1:9">
      <c r="A28" s="154" t="s">
        <v>55</v>
      </c>
      <c r="B28" s="154" t="s">
        <v>291</v>
      </c>
      <c r="C28" s="61">
        <v>701.08</v>
      </c>
      <c r="D28" s="61">
        <v>725</v>
      </c>
      <c r="E28" s="142">
        <f t="shared" si="4"/>
        <v>23.919999999999959</v>
      </c>
      <c r="F28" s="196">
        <f>_xlfn.XLOOKUP(A28,'26 Hummer SUT Ref'!A:A,'26 Hummer SUT Ref'!B:B,"")</f>
        <v>0.1</v>
      </c>
      <c r="G28" s="142">
        <f t="shared" si="1"/>
        <v>13.125</v>
      </c>
      <c r="H28" s="179">
        <f t="shared" si="5"/>
        <v>37.044999999999959</v>
      </c>
      <c r="I28" s="144">
        <f t="shared" si="6"/>
        <v>5.2839904147886058E-2</v>
      </c>
    </row>
    <row r="29" spans="1:9">
      <c r="A29" s="154" t="s">
        <v>51</v>
      </c>
      <c r="B29" s="154" t="s">
        <v>292</v>
      </c>
      <c r="C29" s="61">
        <v>285.27</v>
      </c>
      <c r="D29" s="61">
        <v>295</v>
      </c>
      <c r="E29" s="142">
        <f t="shared" si="4"/>
        <v>9.7300000000000182</v>
      </c>
      <c r="F29" s="196">
        <f>_xlfn.XLOOKUP(A29,'26 Hummer SUT Ref'!A:A,'26 Hummer SUT Ref'!B:B,"")</f>
        <v>0.2</v>
      </c>
      <c r="G29" s="142">
        <f t="shared" si="1"/>
        <v>26.25</v>
      </c>
      <c r="H29" s="179">
        <f t="shared" si="5"/>
        <v>35.980000000000018</v>
      </c>
      <c r="I29" s="144">
        <f t="shared" si="6"/>
        <v>0.1261261261261262</v>
      </c>
    </row>
    <row r="30" spans="1:9">
      <c r="A30" s="154" t="s">
        <v>165</v>
      </c>
      <c r="B30" s="154" t="s">
        <v>293</v>
      </c>
      <c r="C30" s="61">
        <v>701.08</v>
      </c>
      <c r="D30" s="61">
        <v>725</v>
      </c>
      <c r="E30" s="142">
        <f t="shared" si="4"/>
        <v>23.919999999999959</v>
      </c>
      <c r="F30" s="196">
        <f>_xlfn.XLOOKUP(A30,'26 Hummer SUT Ref'!A:A,'26 Hummer SUT Ref'!B:B,"")</f>
        <v>0.5</v>
      </c>
      <c r="G30" s="142">
        <f t="shared" si="1"/>
        <v>65.625</v>
      </c>
      <c r="H30" s="179">
        <f t="shared" si="5"/>
        <v>89.544999999999959</v>
      </c>
      <c r="I30" s="144">
        <f t="shared" si="6"/>
        <v>0.12772436811776111</v>
      </c>
    </row>
    <row r="31" spans="1:9">
      <c r="A31" s="154" t="s">
        <v>39</v>
      </c>
      <c r="B31" s="154" t="s">
        <v>294</v>
      </c>
      <c r="C31" s="61">
        <v>1498.85</v>
      </c>
      <c r="D31" s="61">
        <v>1550</v>
      </c>
      <c r="E31" s="142">
        <f t="shared" si="4"/>
        <v>51.150000000000091</v>
      </c>
      <c r="F31" s="196">
        <f>_xlfn.XLOOKUP(A31,'26 Hummer SUT Ref'!A:A,'26 Hummer SUT Ref'!B:B,"")</f>
        <v>0.6</v>
      </c>
      <c r="G31" s="142">
        <f t="shared" si="1"/>
        <v>78.75</v>
      </c>
      <c r="H31" s="179">
        <f t="shared" si="5"/>
        <v>129.90000000000009</v>
      </c>
      <c r="I31" s="144">
        <f t="shared" si="6"/>
        <v>8.6666444273943419E-2</v>
      </c>
    </row>
    <row r="32" spans="1:9">
      <c r="A32" s="154" t="s">
        <v>40</v>
      </c>
      <c r="B32" s="154" t="s">
        <v>295</v>
      </c>
      <c r="C32" s="61">
        <v>865.47</v>
      </c>
      <c r="D32" s="61">
        <v>895</v>
      </c>
      <c r="E32" s="142">
        <f t="shared" si="4"/>
        <v>29.529999999999973</v>
      </c>
      <c r="F32" s="196">
        <f>_xlfn.XLOOKUP(A32,'26 Hummer SUT Ref'!A:A,'26 Hummer SUT Ref'!B:B,"")</f>
        <v>0.7</v>
      </c>
      <c r="G32" s="142">
        <f t="shared" si="1"/>
        <v>91.874999999999986</v>
      </c>
      <c r="H32" s="179">
        <f t="shared" si="5"/>
        <v>121.40499999999996</v>
      </c>
      <c r="I32" s="144">
        <f t="shared" si="6"/>
        <v>0.14027638161923575</v>
      </c>
    </row>
    <row r="33" spans="1:9">
      <c r="A33" s="154" t="s">
        <v>10</v>
      </c>
      <c r="B33" s="154" t="s">
        <v>296</v>
      </c>
      <c r="C33" s="61">
        <v>314.27999999999997</v>
      </c>
      <c r="D33" s="61">
        <v>325</v>
      </c>
      <c r="E33" s="142">
        <f t="shared" si="4"/>
        <v>10.720000000000027</v>
      </c>
      <c r="F33" s="196">
        <f>_xlfn.XLOOKUP(A33,'26 Hummer SUT Ref'!A:A,'26 Hummer SUT Ref'!B:B,"")</f>
        <v>0.6</v>
      </c>
      <c r="G33" s="142">
        <f t="shared" si="1"/>
        <v>78.75</v>
      </c>
      <c r="H33" s="179">
        <f t="shared" si="5"/>
        <v>89.470000000000027</v>
      </c>
      <c r="I33" s="144">
        <f t="shared" si="6"/>
        <v>0.28468244877179594</v>
      </c>
    </row>
    <row r="34" spans="1:9">
      <c r="A34" s="154" t="s">
        <v>96</v>
      </c>
      <c r="B34" s="154" t="s">
        <v>239</v>
      </c>
      <c r="C34" s="61">
        <v>604.38</v>
      </c>
      <c r="D34" s="61">
        <v>625</v>
      </c>
      <c r="E34" s="142">
        <f t="shared" si="4"/>
        <v>20.620000000000005</v>
      </c>
      <c r="F34" s="196">
        <f>_xlfn.XLOOKUP(A34,'26 Hummer SUT Ref'!A:A,'26 Hummer SUT Ref'!B:B,"")</f>
        <v>0.3</v>
      </c>
      <c r="G34" s="142">
        <f t="shared" si="1"/>
        <v>39.375</v>
      </c>
      <c r="H34" s="179">
        <f t="shared" si="5"/>
        <v>59.995000000000005</v>
      </c>
      <c r="I34" s="144">
        <f t="shared" si="6"/>
        <v>9.9267017439359354E-2</v>
      </c>
    </row>
    <row r="35" spans="1:9">
      <c r="A35" s="154" t="s">
        <v>72</v>
      </c>
      <c r="B35" s="154" t="s">
        <v>297</v>
      </c>
      <c r="C35" s="61">
        <v>232.08</v>
      </c>
      <c r="D35" s="61">
        <v>240</v>
      </c>
      <c r="E35" s="142">
        <f t="shared" si="4"/>
        <v>7.9199999999999875</v>
      </c>
      <c r="F35" s="196">
        <f>_xlfn.XLOOKUP(A35,'26 Hummer SUT Ref'!A:A,'26 Hummer SUT Ref'!B:B,"")</f>
        <v>0.1</v>
      </c>
      <c r="G35" s="142">
        <f t="shared" si="1"/>
        <v>13.125</v>
      </c>
      <c r="H35" s="179">
        <f t="shared" si="5"/>
        <v>21.044999999999987</v>
      </c>
      <c r="I35" s="144">
        <f t="shared" si="6"/>
        <v>9.0679937952430137E-2</v>
      </c>
    </row>
    <row r="36" spans="1:9">
      <c r="A36" s="154" t="s">
        <v>188</v>
      </c>
      <c r="B36" s="154" t="s">
        <v>235</v>
      </c>
      <c r="C36" s="61">
        <v>1933.03</v>
      </c>
      <c r="D36" s="61">
        <v>1999</v>
      </c>
      <c r="E36" s="142">
        <f t="shared" si="4"/>
        <v>65.970000000000027</v>
      </c>
      <c r="F36" s="196">
        <f>_xlfn.XLOOKUP(A36,'26 Hummer SUT Ref'!A:A,'26 Hummer SUT Ref'!B:B,"")</f>
        <v>0.1</v>
      </c>
      <c r="G36" s="142">
        <f t="shared" si="1"/>
        <v>13.125</v>
      </c>
      <c r="H36" s="179">
        <f t="shared" ref="H36:H39" si="7">G36+E36</f>
        <v>79.095000000000027</v>
      </c>
      <c r="I36" s="144">
        <f t="shared" ref="I36:I39" si="8">H36/C36</f>
        <v>4.0917626731090583E-2</v>
      </c>
    </row>
    <row r="37" spans="1:9">
      <c r="A37" s="154" t="s">
        <v>189</v>
      </c>
      <c r="B37" s="154" t="s">
        <v>236</v>
      </c>
      <c r="C37" s="61">
        <v>869.33</v>
      </c>
      <c r="D37" s="61">
        <v>899</v>
      </c>
      <c r="E37" s="142">
        <f t="shared" si="4"/>
        <v>29.669999999999959</v>
      </c>
      <c r="F37" s="196">
        <f>_xlfn.XLOOKUP(A37,'26 Hummer SUT Ref'!A:A,'26 Hummer SUT Ref'!B:B,"")</f>
        <v>0.1</v>
      </c>
      <c r="G37" s="142">
        <f t="shared" si="1"/>
        <v>13.125</v>
      </c>
      <c r="H37" s="179">
        <f t="shared" si="7"/>
        <v>42.794999999999959</v>
      </c>
      <c r="I37" s="144">
        <f t="shared" si="8"/>
        <v>4.9227566056618266E-2</v>
      </c>
    </row>
    <row r="38" spans="1:9">
      <c r="A38" s="157" t="s">
        <v>203</v>
      </c>
      <c r="B38" s="157" t="s">
        <v>298</v>
      </c>
      <c r="C38" s="146">
        <v>154.72</v>
      </c>
      <c r="D38" s="146">
        <v>160</v>
      </c>
      <c r="E38" s="142">
        <f t="shared" si="4"/>
        <v>5.2800000000000011</v>
      </c>
      <c r="F38" s="196">
        <f>_xlfn.XLOOKUP(A38,'26 Hummer SUT Ref'!A:A,'26 Hummer SUT Ref'!B:B,"")</f>
        <v>0.1</v>
      </c>
      <c r="G38" s="142">
        <f t="shared" si="1"/>
        <v>13.125</v>
      </c>
      <c r="H38" s="179">
        <f t="shared" si="7"/>
        <v>18.405000000000001</v>
      </c>
      <c r="I38" s="144">
        <f t="shared" si="8"/>
        <v>0.11895682523267839</v>
      </c>
    </row>
    <row r="39" spans="1:9">
      <c r="A39" s="154" t="s">
        <v>193</v>
      </c>
      <c r="B39" s="154" t="s">
        <v>237</v>
      </c>
      <c r="C39" s="61">
        <v>265.93</v>
      </c>
      <c r="D39" s="61">
        <v>275</v>
      </c>
      <c r="E39" s="142">
        <f t="shared" si="4"/>
        <v>9.0699999999999932</v>
      </c>
      <c r="F39" s="196">
        <f>_xlfn.XLOOKUP(A39,'26 Hummer SUT Ref'!A:A,'26 Hummer SUT Ref'!B:B,"")</f>
        <v>0.1</v>
      </c>
      <c r="G39" s="142">
        <f t="shared" si="1"/>
        <v>13.125</v>
      </c>
      <c r="H39" s="179">
        <f t="shared" si="7"/>
        <v>22.194999999999993</v>
      </c>
      <c r="I39" s="144">
        <f t="shared" si="8"/>
        <v>8.3461813259128312E-2</v>
      </c>
    </row>
    <row r="40" spans="1:9">
      <c r="C40" s="62"/>
      <c r="D40" s="62"/>
    </row>
    <row r="60" spans="22:22">
      <c r="V60" s="284"/>
    </row>
  </sheetData>
  <autoFilter ref="A4:I4" xr:uid="{19CEDD91-9E72-4CB0-8A85-3399007DF4BD}"/>
  <sortState xmlns:xlrd2="http://schemas.microsoft.com/office/spreadsheetml/2017/richdata2" ref="A21:I35">
    <sortCondition descending="1" ref="I21:I35"/>
  </sortState>
  <mergeCells count="4">
    <mergeCell ref="A1:I1"/>
    <mergeCell ref="F3:G3"/>
    <mergeCell ref="H3:I3"/>
    <mergeCell ref="C3:D3"/>
  </mergeCells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4077F-B807-406D-9142-339743C7DCC0}">
  <sheetPr codeName="Sheet10">
    <tabColor theme="4" tint="-0.249977111117893"/>
  </sheetPr>
  <dimension ref="A1:V60"/>
  <sheetViews>
    <sheetView topLeftCell="A25" workbookViewId="0">
      <selection activeCell="O91" sqref="O91"/>
    </sheetView>
  </sheetViews>
  <sheetFormatPr defaultRowHeight="15"/>
  <sheetData>
    <row r="1" spans="1:11">
      <c r="A1" s="8" t="s">
        <v>406</v>
      </c>
      <c r="B1">
        <v>0.5</v>
      </c>
    </row>
    <row r="2" spans="1:11">
      <c r="A2" s="8" t="s">
        <v>45</v>
      </c>
      <c r="B2">
        <v>1.1000000000000001</v>
      </c>
    </row>
    <row r="3" spans="1:11">
      <c r="A3" s="8" t="s">
        <v>407</v>
      </c>
      <c r="B3">
        <v>0.5</v>
      </c>
      <c r="J3" s="128"/>
      <c r="K3" s="64"/>
    </row>
    <row r="4" spans="1:11">
      <c r="A4" s="8" t="s">
        <v>408</v>
      </c>
      <c r="B4">
        <v>0.2</v>
      </c>
      <c r="J4" s="128"/>
      <c r="K4" s="64"/>
    </row>
    <row r="5" spans="1:11">
      <c r="A5" s="8" t="s">
        <v>409</v>
      </c>
      <c r="B5">
        <v>1</v>
      </c>
      <c r="J5" s="128"/>
      <c r="K5" s="64"/>
    </row>
    <row r="6" spans="1:11">
      <c r="A6" s="8" t="s">
        <v>284</v>
      </c>
      <c r="B6">
        <v>0.2</v>
      </c>
      <c r="J6" s="128"/>
      <c r="K6" s="64"/>
    </row>
    <row r="7" spans="1:11">
      <c r="A7" s="8" t="s">
        <v>284</v>
      </c>
      <c r="B7">
        <v>1.5</v>
      </c>
      <c r="J7" s="128"/>
      <c r="K7" s="64"/>
    </row>
    <row r="8" spans="1:11">
      <c r="A8" s="8" t="s">
        <v>164</v>
      </c>
      <c r="B8">
        <v>0.5</v>
      </c>
      <c r="J8" s="128"/>
      <c r="K8" s="64"/>
    </row>
    <row r="9" spans="1:11">
      <c r="A9" s="8" t="s">
        <v>165</v>
      </c>
      <c r="B9">
        <v>0.5</v>
      </c>
      <c r="J9" s="128"/>
      <c r="K9" s="64"/>
    </row>
    <row r="10" spans="1:11">
      <c r="A10" s="8" t="s">
        <v>39</v>
      </c>
      <c r="B10">
        <v>0.6</v>
      </c>
      <c r="J10" s="128"/>
      <c r="K10" s="64"/>
    </row>
    <row r="11" spans="1:11">
      <c r="A11" s="8" t="s">
        <v>40</v>
      </c>
      <c r="B11">
        <v>0.7</v>
      </c>
      <c r="J11" s="128"/>
      <c r="K11" s="64"/>
    </row>
    <row r="12" spans="1:11">
      <c r="A12" s="8" t="s">
        <v>111</v>
      </c>
      <c r="B12">
        <v>1.5</v>
      </c>
      <c r="J12" s="128"/>
      <c r="K12" s="64"/>
    </row>
    <row r="13" spans="1:11">
      <c r="A13" s="8" t="s">
        <v>55</v>
      </c>
      <c r="B13">
        <v>0.1</v>
      </c>
      <c r="J13" s="128"/>
      <c r="K13" s="64"/>
    </row>
    <row r="14" spans="1:11">
      <c r="A14" s="8" t="s">
        <v>200</v>
      </c>
      <c r="B14">
        <v>0.7</v>
      </c>
      <c r="J14" s="128"/>
      <c r="K14" s="64"/>
    </row>
    <row r="15" spans="1:11">
      <c r="A15" s="8" t="s">
        <v>188</v>
      </c>
      <c r="B15">
        <v>0.1</v>
      </c>
    </row>
    <row r="16" spans="1:11">
      <c r="A16" s="8" t="s">
        <v>189</v>
      </c>
      <c r="B16">
        <v>0.1</v>
      </c>
    </row>
    <row r="17" spans="1:2">
      <c r="A17" s="8" t="s">
        <v>193</v>
      </c>
      <c r="B17">
        <v>0.1</v>
      </c>
    </row>
    <row r="18" spans="1:2">
      <c r="A18" s="8" t="s">
        <v>17</v>
      </c>
      <c r="B18">
        <v>0.6</v>
      </c>
    </row>
    <row r="19" spans="1:2">
      <c r="A19" s="8" t="s">
        <v>219</v>
      </c>
      <c r="B19">
        <v>1</v>
      </c>
    </row>
    <row r="20" spans="1:2">
      <c r="A20" s="8" t="s">
        <v>410</v>
      </c>
      <c r="B20">
        <v>1</v>
      </c>
    </row>
    <row r="21" spans="1:2">
      <c r="A21" s="8" t="s">
        <v>50</v>
      </c>
      <c r="B21">
        <v>0.5</v>
      </c>
    </row>
    <row r="22" spans="1:2">
      <c r="A22" s="8" t="s">
        <v>280</v>
      </c>
      <c r="B22">
        <v>1</v>
      </c>
    </row>
    <row r="23" spans="1:2">
      <c r="A23" s="8" t="s">
        <v>411</v>
      </c>
      <c r="B23">
        <v>1</v>
      </c>
    </row>
    <row r="24" spans="1:2">
      <c r="A24" s="8" t="s">
        <v>107</v>
      </c>
      <c r="B24">
        <v>0.6</v>
      </c>
    </row>
    <row r="25" spans="1:2">
      <c r="A25" s="8" t="s">
        <v>212</v>
      </c>
      <c r="B25">
        <v>0.6</v>
      </c>
    </row>
    <row r="26" spans="1:2">
      <c r="A26" s="8" t="s">
        <v>10</v>
      </c>
      <c r="B26">
        <v>0.6</v>
      </c>
    </row>
    <row r="27" spans="1:2">
      <c r="A27" s="8" t="s">
        <v>217</v>
      </c>
      <c r="B27">
        <v>0.6</v>
      </c>
    </row>
    <row r="28" spans="1:2">
      <c r="A28" s="8" t="s">
        <v>96</v>
      </c>
      <c r="B28">
        <v>0.3</v>
      </c>
    </row>
    <row r="29" spans="1:2">
      <c r="A29" s="128" t="s">
        <v>18</v>
      </c>
      <c r="B29">
        <v>0.4</v>
      </c>
    </row>
    <row r="30" spans="1:2">
      <c r="A30" s="128" t="s">
        <v>155</v>
      </c>
      <c r="B30">
        <v>1.3</v>
      </c>
    </row>
    <row r="31" spans="1:2">
      <c r="A31" s="128" t="s">
        <v>72</v>
      </c>
      <c r="B31">
        <v>0.1</v>
      </c>
    </row>
    <row r="32" spans="1:2">
      <c r="A32" s="128" t="s">
        <v>162</v>
      </c>
      <c r="B32">
        <v>0.1</v>
      </c>
    </row>
    <row r="33" spans="1:11">
      <c r="A33" s="128" t="s">
        <v>93</v>
      </c>
      <c r="B33">
        <v>0.1</v>
      </c>
    </row>
    <row r="34" spans="1:11">
      <c r="A34" s="128" t="s">
        <v>282</v>
      </c>
      <c r="B34">
        <v>0.1</v>
      </c>
      <c r="J34" s="214"/>
      <c r="K34" s="214"/>
    </row>
    <row r="35" spans="1:11">
      <c r="A35" s="128" t="s">
        <v>412</v>
      </c>
      <c r="B35">
        <v>0.2</v>
      </c>
      <c r="J35" s="214"/>
      <c r="K35" s="214"/>
    </row>
    <row r="36" spans="1:11">
      <c r="A36" s="128" t="s">
        <v>110</v>
      </c>
      <c r="B36">
        <v>0.1</v>
      </c>
      <c r="J36" s="214"/>
      <c r="K36" s="214"/>
    </row>
    <row r="37" spans="1:11">
      <c r="A37" s="128" t="s">
        <v>276</v>
      </c>
      <c r="B37">
        <v>0.3</v>
      </c>
      <c r="J37" s="64"/>
      <c r="K37" s="64"/>
    </row>
    <row r="38" spans="1:11">
      <c r="A38" s="128" t="s">
        <v>413</v>
      </c>
      <c r="B38">
        <v>0.2</v>
      </c>
      <c r="J38" s="64"/>
      <c r="K38" s="64"/>
    </row>
    <row r="39" spans="1:11">
      <c r="A39" s="128" t="s">
        <v>286</v>
      </c>
      <c r="B39">
        <v>0.8</v>
      </c>
      <c r="J39" s="64"/>
      <c r="K39" s="64"/>
    </row>
    <row r="40" spans="1:11">
      <c r="A40" s="128" t="s">
        <v>81</v>
      </c>
      <c r="B40">
        <v>0.1</v>
      </c>
      <c r="J40" s="64"/>
      <c r="K40" s="64"/>
    </row>
    <row r="41" spans="1:11">
      <c r="A41" s="128" t="s">
        <v>414</v>
      </c>
      <c r="B41">
        <v>0.8</v>
      </c>
      <c r="J41" s="64"/>
      <c r="K41" s="64"/>
    </row>
    <row r="42" spans="1:11">
      <c r="A42" s="128" t="s">
        <v>274</v>
      </c>
      <c r="B42">
        <v>0.2</v>
      </c>
      <c r="J42" s="64"/>
      <c r="K42" s="64"/>
    </row>
    <row r="43" spans="1:11">
      <c r="A43" s="128" t="s">
        <v>203</v>
      </c>
      <c r="B43">
        <v>0.1</v>
      </c>
    </row>
    <row r="44" spans="1:11">
      <c r="A44" s="128" t="s">
        <v>51</v>
      </c>
      <c r="B44">
        <v>0.2</v>
      </c>
    </row>
    <row r="45" spans="1:11">
      <c r="A45" s="128" t="s">
        <v>105</v>
      </c>
      <c r="B45">
        <v>0.4</v>
      </c>
    </row>
    <row r="46" spans="1:11">
      <c r="A46" s="128" t="s">
        <v>124</v>
      </c>
      <c r="B46">
        <v>0.8</v>
      </c>
    </row>
    <row r="47" spans="1:11">
      <c r="A47" s="128" t="s">
        <v>15</v>
      </c>
      <c r="B47">
        <v>0.1</v>
      </c>
    </row>
    <row r="48" spans="1:11">
      <c r="A48" s="128" t="s">
        <v>271</v>
      </c>
      <c r="B48">
        <v>3.4</v>
      </c>
    </row>
    <row r="49" spans="1:22">
      <c r="A49" s="128" t="s">
        <v>9</v>
      </c>
      <c r="B49" cm="1">
        <f t="array" aca="1" ref="B49" ca="1">+OFFSET(RIK,0,1)+OFFSET(SDA,0,1)</f>
        <v>1.2</v>
      </c>
    </row>
    <row r="50" spans="1:22">
      <c r="A50" s="128" t="s">
        <v>269</v>
      </c>
      <c r="B50">
        <f ca="1">+OFFSET(SDA,0,1)+OFFSET(S6L,0,1)</f>
        <v>1.1000000000000001</v>
      </c>
    </row>
    <row r="51" spans="1:22">
      <c r="A51" s="128" t="s">
        <v>270</v>
      </c>
      <c r="B51">
        <f ca="1">+OFFSET(SDA,0,1)+OFFSET(S6L,0,1)</f>
        <v>1.1000000000000001</v>
      </c>
    </row>
    <row r="52" spans="1:22">
      <c r="A52" s="128" t="s">
        <v>70</v>
      </c>
      <c r="B52" cm="1">
        <f t="array" aca="1" ref="B52" ca="1">OFFSET(_5Y2,0,1)+OFFSET(S1H,0,1)+OFFSET(SGX,0,1)+OFFSET(_SC9,0,1)+OFFSET(sep,0,1)</f>
        <v>0.8</v>
      </c>
    </row>
    <row r="53" spans="1:22">
      <c r="A53" s="128" t="s">
        <v>421</v>
      </c>
      <c r="B53">
        <v>0.1</v>
      </c>
    </row>
    <row r="54" spans="1:22">
      <c r="A54" s="128" t="s">
        <v>422</v>
      </c>
      <c r="B54">
        <v>0.1</v>
      </c>
    </row>
    <row r="55" spans="1:22">
      <c r="A55" s="128" t="s">
        <v>423</v>
      </c>
      <c r="B55">
        <v>0.3</v>
      </c>
    </row>
    <row r="56" spans="1:22">
      <c r="A56" s="128" t="s">
        <v>97</v>
      </c>
      <c r="B56">
        <f ca="1">+OFFSET(RZU,0,1)+OFFSET(S3O,0,1)+OFFSET(VBP,0,1)+OFFSET(SIM,0,1)</f>
        <v>4</v>
      </c>
    </row>
    <row r="57" spans="1:22">
      <c r="A57" s="128" t="s">
        <v>150</v>
      </c>
      <c r="B57" cm="1">
        <f t="array" aca="1" ref="B57" ca="1">+OFFSET(_SD1,0,1)+OFFSET(_sl7,0,1)+OFFSET(VQQ,0,1)</f>
        <v>1.8</v>
      </c>
    </row>
    <row r="58" spans="1:22">
      <c r="A58" s="128" t="s">
        <v>69</v>
      </c>
      <c r="B58" cm="1">
        <f t="array" aca="1" ref="B58" ca="1">+OFFSET(S1O,0,1)+OFFSET(VBJ,0,1)+OFFSET(_sc8,0,1)+OFFSET(_qb1,0,1)</f>
        <v>0.9</v>
      </c>
    </row>
    <row r="59" spans="1:22">
      <c r="A59" s="128" t="s">
        <v>20</v>
      </c>
      <c r="B59">
        <f ca="1">+OFFSET(VQK,0,1)+OFFSET(SBZ,0,1)+OFFSET(RIK,0,1)+OFFSET(ULK,0,1)</f>
        <v>2.2000000000000002</v>
      </c>
    </row>
    <row r="60" spans="1:22">
      <c r="A60" s="128" t="s">
        <v>122</v>
      </c>
      <c r="B60" cm="1">
        <f t="array" aca="1" ref="B60" ca="1">+OFFSET(_5ZS,0,1)+OFFSET(SAS,0,1)+OFFSET(SGX,0,1)+OFFSET(_SC9,0,1)+OFFSET(_qb3, 0,1)+OFFSET(_5Y2,0,1)+OFFSET(_5km,0,1)</f>
        <v>5.5</v>
      </c>
      <c r="V60" s="284"/>
    </row>
  </sheetData>
  <sortState xmlns:xlrd2="http://schemas.microsoft.com/office/spreadsheetml/2017/richdata2" ref="A1:B28">
    <sortCondition ref="A1:A28"/>
  </sortState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RowHeight="15"/>
  <cols>
    <col min="1" max="1" width="8.7109375" style="8" customWidth="1"/>
    <col min="2" max="2" width="55.7109375" style="5" bestFit="1" customWidth="1"/>
    <col min="3" max="4" width="12.7109375" style="1" customWidth="1"/>
    <col min="5" max="5" width="12.7109375" style="18" customWidth="1"/>
    <col min="6" max="6" width="12.7109375" style="10" customWidth="1"/>
    <col min="7" max="7" width="12.7109375" style="18" customWidth="1"/>
    <col min="8" max="8" width="12.7109375" style="17" customWidth="1"/>
    <col min="9" max="9" width="12.7109375" style="2" customWidth="1"/>
    <col min="10" max="10" width="10" bestFit="1" customWidth="1"/>
    <col min="11" max="11" width="21.42578125" bestFit="1" customWidth="1"/>
  </cols>
  <sheetData>
    <row r="1" spans="1:9" ht="24" thickBot="1">
      <c r="A1" s="322" t="s">
        <v>427</v>
      </c>
      <c r="B1" s="323"/>
      <c r="C1" s="323"/>
      <c r="D1" s="323"/>
      <c r="E1" s="323"/>
      <c r="F1" s="323"/>
      <c r="G1" s="323"/>
      <c r="H1" s="323"/>
      <c r="I1" s="324"/>
    </row>
    <row r="2" spans="1:9" ht="12" customHeight="1" thickBot="1">
      <c r="A2" s="57"/>
      <c r="B2" s="57"/>
      <c r="C2" s="58"/>
      <c r="D2" s="58"/>
      <c r="E2" s="58"/>
      <c r="F2" s="58"/>
      <c r="G2" s="58"/>
      <c r="H2" s="58"/>
      <c r="I2" s="59"/>
    </row>
    <row r="3" spans="1:9" ht="15.75" thickBot="1">
      <c r="A3" s="253"/>
      <c r="B3" s="63"/>
      <c r="C3" s="326" t="s">
        <v>170</v>
      </c>
      <c r="D3" s="327"/>
      <c r="E3" s="328"/>
      <c r="F3" s="326" t="s">
        <v>171</v>
      </c>
      <c r="G3" s="328"/>
      <c r="H3" s="326" t="s">
        <v>172</v>
      </c>
      <c r="I3" s="328"/>
    </row>
    <row r="4" spans="1:9" ht="45.75" customHeight="1" thickBot="1">
      <c r="A4" s="33" t="s">
        <v>0</v>
      </c>
      <c r="B4" s="31" t="s">
        <v>1</v>
      </c>
      <c r="C4" s="71" t="s">
        <v>3</v>
      </c>
      <c r="D4" s="72" t="s">
        <v>4</v>
      </c>
      <c r="E4" s="134" t="s">
        <v>6</v>
      </c>
      <c r="F4" s="135" t="s">
        <v>2</v>
      </c>
      <c r="G4" s="136" t="s">
        <v>5</v>
      </c>
      <c r="H4" s="125" t="s">
        <v>7</v>
      </c>
      <c r="I4" s="137" t="s">
        <v>8</v>
      </c>
    </row>
    <row r="5" spans="1:9" ht="15.75" customHeight="1">
      <c r="A5" s="254" t="s">
        <v>97</v>
      </c>
      <c r="B5" s="205" t="s">
        <v>429</v>
      </c>
      <c r="C5" s="147">
        <v>1929.17</v>
      </c>
      <c r="D5" s="148">
        <v>1995</v>
      </c>
      <c r="E5" s="252">
        <f>D5-C5</f>
        <v>65.829999999999927</v>
      </c>
      <c r="F5" s="139">
        <f ca="1">_xlfn.XLOOKUP(A5,'Hummer SUV Ref'!A:A,'Hummer SUV Ref'!B:B,"")</f>
        <v>4</v>
      </c>
      <c r="G5" s="138">
        <f t="shared" ref="G5:G32" ca="1" si="0">(F5*Labor)*SvcGross</f>
        <v>525</v>
      </c>
      <c r="H5" s="140">
        <f ca="1">G5+E5</f>
        <v>590.82999999999993</v>
      </c>
      <c r="I5" s="141">
        <f ca="1">H5/C5</f>
        <v>0.3062612418812235</v>
      </c>
    </row>
    <row r="6" spans="1:9" ht="15.75" customHeight="1">
      <c r="A6" s="255" t="s">
        <v>9</v>
      </c>
      <c r="B6" s="156" t="s">
        <v>430</v>
      </c>
      <c r="C6" s="70">
        <v>459.33</v>
      </c>
      <c r="D6" s="149">
        <v>475</v>
      </c>
      <c r="E6" s="252">
        <f t="shared" ref="E6:E7" si="1">D6-C6</f>
        <v>15.670000000000016</v>
      </c>
      <c r="F6" s="139">
        <f ca="1">_xlfn.XLOOKUP(A6,'Hummer SUV Ref'!A:A,'Hummer SUV Ref'!B:B,"")</f>
        <v>1.2</v>
      </c>
      <c r="G6" s="138">
        <f t="shared" ca="1" si="0"/>
        <v>157.5</v>
      </c>
      <c r="H6" s="140">
        <f t="shared" ref="H6:H7" ca="1" si="2">G6+E6</f>
        <v>173.17000000000002</v>
      </c>
      <c r="I6" s="141">
        <f t="shared" ref="I6:I7" ca="1" si="3">H6/C6</f>
        <v>0.37700563864759545</v>
      </c>
    </row>
    <row r="7" spans="1:9" ht="15.75" customHeight="1">
      <c r="A7" s="255" t="s">
        <v>270</v>
      </c>
      <c r="B7" s="156" t="s">
        <v>431</v>
      </c>
      <c r="C7" s="70">
        <v>9665.17</v>
      </c>
      <c r="D7" s="149">
        <v>9995</v>
      </c>
      <c r="E7" s="252">
        <f t="shared" si="1"/>
        <v>329.82999999999993</v>
      </c>
      <c r="F7" s="139">
        <f ca="1">_xlfn.XLOOKUP(A7,'Hummer SUV Ref'!A:A,'Hummer SUV Ref'!B:B,"")</f>
        <v>1.1000000000000001</v>
      </c>
      <c r="G7" s="138">
        <f t="shared" ca="1" si="0"/>
        <v>144.37500000000003</v>
      </c>
      <c r="H7" s="140">
        <f t="shared" ca="1" si="2"/>
        <v>474.20499999999993</v>
      </c>
      <c r="I7" s="141">
        <f t="shared" ca="1" si="3"/>
        <v>4.9063286005315988E-2</v>
      </c>
    </row>
    <row r="8" spans="1:9" ht="15.75" customHeight="1">
      <c r="A8" s="255" t="s">
        <v>149</v>
      </c>
      <c r="B8" s="156" t="s">
        <v>432</v>
      </c>
      <c r="C8" s="70">
        <v>5023.57</v>
      </c>
      <c r="D8" s="149">
        <v>5195</v>
      </c>
      <c r="E8" s="252">
        <f>D8-C8</f>
        <v>171.43000000000029</v>
      </c>
      <c r="F8" s="139">
        <f ca="1">_xlfn.XLOOKUP(A8,'Hummer SUV Ref'!A:A,'Hummer SUV Ref'!B:B,"")</f>
        <v>2.2000000000000002</v>
      </c>
      <c r="G8" s="138">
        <f t="shared" ca="1" si="0"/>
        <v>288.75000000000006</v>
      </c>
      <c r="H8" s="140">
        <f ca="1">G8+E8</f>
        <v>460.18000000000035</v>
      </c>
      <c r="I8" s="141">
        <f ca="1">H8/C8</f>
        <v>9.1604177905354231E-2</v>
      </c>
    </row>
    <row r="9" spans="1:9" ht="15.75" customHeight="1">
      <c r="A9" s="255" t="s">
        <v>20</v>
      </c>
      <c r="B9" s="156" t="s">
        <v>433</v>
      </c>
      <c r="C9" s="70">
        <v>1445.67</v>
      </c>
      <c r="D9" s="149">
        <v>1495</v>
      </c>
      <c r="E9" s="197">
        <f>D9-C9</f>
        <v>49.329999999999927</v>
      </c>
      <c r="F9" s="139">
        <f ca="1">_xlfn.XLOOKUP(A9,'Hummer SUV Ref'!A:A,'Hummer SUV Ref'!B:B,"")</f>
        <v>2.2000000000000002</v>
      </c>
      <c r="G9" s="138">
        <f t="shared" ca="1" si="0"/>
        <v>288.75000000000006</v>
      </c>
      <c r="H9" s="143">
        <f ca="1">G9+E9</f>
        <v>338.08</v>
      </c>
      <c r="I9" s="144">
        <f ca="1">H9/C9</f>
        <v>0.23385696597425412</v>
      </c>
    </row>
    <row r="10" spans="1:9" ht="15.75" customHeight="1" thickBot="1">
      <c r="A10" s="256" t="s">
        <v>109</v>
      </c>
      <c r="B10" s="206" t="s">
        <v>434</v>
      </c>
      <c r="C10" s="150">
        <v>672.07</v>
      </c>
      <c r="D10" s="151">
        <v>695</v>
      </c>
      <c r="E10" s="197">
        <f>D10-C10</f>
        <v>22.92999999999995</v>
      </c>
      <c r="F10" s="139">
        <f ca="1">_xlfn.XLOOKUP(A10,'Hummer SUV Ref'!A:A,'Hummer SUV Ref'!B:B,"")</f>
        <v>0.30000000000000004</v>
      </c>
      <c r="G10" s="138">
        <f t="shared" ca="1" si="0"/>
        <v>39.375000000000007</v>
      </c>
      <c r="H10" s="143">
        <f ca="1">G10+E10</f>
        <v>62.304999999999957</v>
      </c>
      <c r="I10" s="144">
        <f ca="1">H10/C10</f>
        <v>9.2706116922344331E-2</v>
      </c>
    </row>
    <row r="11" spans="1:9" ht="15.75" customHeight="1">
      <c r="A11" s="257" t="s">
        <v>59</v>
      </c>
      <c r="B11" s="239" t="s">
        <v>360</v>
      </c>
      <c r="C11" s="240">
        <v>188.57</v>
      </c>
      <c r="D11" s="240">
        <v>195</v>
      </c>
      <c r="E11" s="252">
        <f t="shared" ref="E11:E21" si="4">D11-C11</f>
        <v>6.4300000000000068</v>
      </c>
      <c r="F11" s="139">
        <f>_xlfn.XLOOKUP(A11,'Hummer SUV Ref'!A:A,'Hummer SUV Ref'!B:B,"")</f>
        <v>0.1</v>
      </c>
      <c r="G11" s="138">
        <f t="shared" si="0"/>
        <v>13.125</v>
      </c>
      <c r="H11" s="140">
        <f t="shared" ref="H11:H21" si="5">G11+E11</f>
        <v>19.555000000000007</v>
      </c>
      <c r="I11" s="141">
        <f t="shared" ref="I11:I21" si="6">H11/C11</f>
        <v>0.10370154319350908</v>
      </c>
    </row>
    <row r="12" spans="1:9" ht="15.75" customHeight="1">
      <c r="A12" s="207" t="s">
        <v>162</v>
      </c>
      <c r="B12" s="154" t="s">
        <v>273</v>
      </c>
      <c r="C12" s="61">
        <v>188.57</v>
      </c>
      <c r="D12" s="61">
        <v>195</v>
      </c>
      <c r="E12" s="197">
        <f t="shared" si="4"/>
        <v>6.4300000000000068</v>
      </c>
      <c r="F12" s="139">
        <f>_xlfn.XLOOKUP(A12,'Hummer SUV Ref'!A:A,'Hummer SUV Ref'!B:B,"")</f>
        <v>0.1</v>
      </c>
      <c r="G12" s="138">
        <f t="shared" si="0"/>
        <v>13.125</v>
      </c>
      <c r="H12" s="143">
        <f t="shared" si="5"/>
        <v>19.555000000000007</v>
      </c>
      <c r="I12" s="144">
        <f t="shared" si="6"/>
        <v>0.10370154319350908</v>
      </c>
    </row>
    <row r="13" spans="1:9" ht="15.75" customHeight="1">
      <c r="A13" s="207" t="s">
        <v>276</v>
      </c>
      <c r="B13" s="154" t="s">
        <v>277</v>
      </c>
      <c r="C13" s="61">
        <v>4346.67</v>
      </c>
      <c r="D13" s="61">
        <v>4495</v>
      </c>
      <c r="E13" s="197">
        <f t="shared" si="4"/>
        <v>148.32999999999993</v>
      </c>
      <c r="F13" s="139">
        <f>_xlfn.XLOOKUP(A13,'Hummer SUV Ref'!A:A,'Hummer SUV Ref'!B:B,"")</f>
        <v>0.3</v>
      </c>
      <c r="G13" s="138">
        <f t="shared" si="0"/>
        <v>39.375</v>
      </c>
      <c r="H13" s="143">
        <f t="shared" si="5"/>
        <v>187.70499999999993</v>
      </c>
      <c r="I13" s="144">
        <f t="shared" si="6"/>
        <v>4.3183632527889149E-2</v>
      </c>
    </row>
    <row r="14" spans="1:9" ht="15.75" customHeight="1">
      <c r="A14" s="207" t="s">
        <v>93</v>
      </c>
      <c r="B14" s="154" t="s">
        <v>361</v>
      </c>
      <c r="C14" s="61">
        <v>314.27999999999997</v>
      </c>
      <c r="D14" s="61">
        <v>325</v>
      </c>
      <c r="E14" s="197">
        <f t="shared" si="4"/>
        <v>10.720000000000027</v>
      </c>
      <c r="F14" s="139">
        <f>_xlfn.XLOOKUP(A14,'Hummer SUV Ref'!A:A,'Hummer SUV Ref'!B:B,"")</f>
        <v>0.1</v>
      </c>
      <c r="G14" s="138">
        <f t="shared" si="0"/>
        <v>13.125</v>
      </c>
      <c r="H14" s="143">
        <f t="shared" si="5"/>
        <v>23.845000000000027</v>
      </c>
      <c r="I14" s="144">
        <f t="shared" si="6"/>
        <v>7.5871834033346158E-2</v>
      </c>
    </row>
    <row r="15" spans="1:9" ht="15.75" customHeight="1">
      <c r="A15" s="207" t="s">
        <v>362</v>
      </c>
      <c r="B15" s="154" t="s">
        <v>363</v>
      </c>
      <c r="C15" s="61">
        <v>821.95</v>
      </c>
      <c r="D15" s="61">
        <v>850</v>
      </c>
      <c r="E15" s="197">
        <f t="shared" si="4"/>
        <v>28.049999999999955</v>
      </c>
      <c r="F15" s="139">
        <f>_xlfn.XLOOKUP(A15,'Hummer SUV Ref'!A:A,'Hummer SUV Ref'!B:B,"")</f>
        <v>0.2</v>
      </c>
      <c r="G15" s="138">
        <f t="shared" si="0"/>
        <v>26.25</v>
      </c>
      <c r="H15" s="143">
        <f t="shared" si="5"/>
        <v>54.299999999999955</v>
      </c>
      <c r="I15" s="144">
        <f t="shared" si="6"/>
        <v>6.6062412555508182E-2</v>
      </c>
    </row>
    <row r="16" spans="1:9" ht="15.75" customHeight="1">
      <c r="A16" s="207" t="s">
        <v>280</v>
      </c>
      <c r="B16" s="154" t="s">
        <v>281</v>
      </c>
      <c r="C16" s="61">
        <v>2315.9699999999998</v>
      </c>
      <c r="D16" s="61">
        <v>2395</v>
      </c>
      <c r="E16" s="197">
        <f t="shared" si="4"/>
        <v>79.0300000000002</v>
      </c>
      <c r="F16" s="139">
        <f>_xlfn.XLOOKUP(A16,'Hummer SUV Ref'!A:A,'Hummer SUV Ref'!B:B,"")</f>
        <v>1</v>
      </c>
      <c r="G16" s="138">
        <f t="shared" si="0"/>
        <v>131.25</v>
      </c>
      <c r="H16" s="143">
        <f t="shared" si="5"/>
        <v>210.2800000000002</v>
      </c>
      <c r="I16" s="144">
        <f t="shared" si="6"/>
        <v>9.0795649339153878E-2</v>
      </c>
    </row>
    <row r="17" spans="1:16" ht="15.75" customHeight="1">
      <c r="A17" s="207" t="s">
        <v>282</v>
      </c>
      <c r="B17" s="154" t="s">
        <v>364</v>
      </c>
      <c r="C17" s="61">
        <v>768.77</v>
      </c>
      <c r="D17" s="61">
        <v>795</v>
      </c>
      <c r="E17" s="197">
        <f t="shared" si="4"/>
        <v>26.230000000000018</v>
      </c>
      <c r="F17" s="139">
        <f>_xlfn.XLOOKUP(A17,'Hummer SUV Ref'!A:A,'Hummer SUV Ref'!B:B,"")</f>
        <v>0.1</v>
      </c>
      <c r="G17" s="138">
        <f t="shared" si="0"/>
        <v>13.125</v>
      </c>
      <c r="H17" s="143">
        <f t="shared" si="5"/>
        <v>39.355000000000018</v>
      </c>
      <c r="I17" s="144">
        <f t="shared" si="6"/>
        <v>5.1192164106299697E-2</v>
      </c>
    </row>
    <row r="18" spans="1:16" ht="15.75" customHeight="1">
      <c r="A18" s="207" t="s">
        <v>15</v>
      </c>
      <c r="B18" s="154" t="s">
        <v>238</v>
      </c>
      <c r="C18" s="61">
        <v>120.88</v>
      </c>
      <c r="D18" s="61">
        <v>125</v>
      </c>
      <c r="E18" s="197">
        <f t="shared" si="4"/>
        <v>4.1200000000000045</v>
      </c>
      <c r="F18" s="139">
        <f>_xlfn.XLOOKUP(A18,'Hummer SUV Ref'!A:A,'Hummer SUV Ref'!B:B,"")</f>
        <v>0.1</v>
      </c>
      <c r="G18" s="138">
        <f t="shared" si="0"/>
        <v>13.125</v>
      </c>
      <c r="H18" s="143">
        <f t="shared" si="5"/>
        <v>17.245000000000005</v>
      </c>
      <c r="I18" s="144">
        <f t="shared" si="6"/>
        <v>0.1426621442753144</v>
      </c>
    </row>
    <row r="19" spans="1:16">
      <c r="A19" s="207" t="s">
        <v>286</v>
      </c>
      <c r="B19" s="154" t="s">
        <v>287</v>
      </c>
      <c r="C19" s="61">
        <v>3379.67</v>
      </c>
      <c r="D19" s="61">
        <v>3495</v>
      </c>
      <c r="E19" s="197">
        <f t="shared" si="4"/>
        <v>115.32999999999993</v>
      </c>
      <c r="F19" s="139">
        <f>_xlfn.XLOOKUP(A19,'Hummer SUV Ref'!A:A,'Hummer SUV Ref'!B:B,"")</f>
        <v>0.8</v>
      </c>
      <c r="G19" s="138">
        <f t="shared" si="0"/>
        <v>105</v>
      </c>
      <c r="H19" s="143">
        <f t="shared" si="5"/>
        <v>220.32999999999993</v>
      </c>
      <c r="I19" s="144">
        <f t="shared" si="6"/>
        <v>6.519275550571503E-2</v>
      </c>
    </row>
    <row r="20" spans="1:16">
      <c r="A20" s="207" t="s">
        <v>124</v>
      </c>
      <c r="B20" s="154" t="s">
        <v>288</v>
      </c>
      <c r="C20" s="61">
        <v>4346.67</v>
      </c>
      <c r="D20" s="61">
        <v>4495</v>
      </c>
      <c r="E20" s="197">
        <f t="shared" si="4"/>
        <v>148.32999999999993</v>
      </c>
      <c r="F20" s="139">
        <f>_xlfn.XLOOKUP(A20,'Hummer SUV Ref'!A:A,'Hummer SUV Ref'!B:B,"")</f>
        <v>0.8</v>
      </c>
      <c r="G20" s="138">
        <f t="shared" si="0"/>
        <v>105</v>
      </c>
      <c r="H20" s="143">
        <f t="shared" si="5"/>
        <v>253.32999999999993</v>
      </c>
      <c r="I20" s="144">
        <f t="shared" si="6"/>
        <v>5.8281397023468524E-2</v>
      </c>
    </row>
    <row r="21" spans="1:16">
      <c r="A21" s="207" t="s">
        <v>105</v>
      </c>
      <c r="B21" s="154" t="s">
        <v>289</v>
      </c>
      <c r="C21" s="61">
        <v>459.33</v>
      </c>
      <c r="D21" s="61">
        <v>475</v>
      </c>
      <c r="E21" s="197">
        <f t="shared" si="4"/>
        <v>15.670000000000016</v>
      </c>
      <c r="F21" s="139">
        <f>_xlfn.XLOOKUP(A21,'Hummer SUV Ref'!A:A,'Hummer SUV Ref'!B:B,"")</f>
        <v>0.4</v>
      </c>
      <c r="G21" s="138">
        <f t="shared" si="0"/>
        <v>52.5</v>
      </c>
      <c r="H21" s="143">
        <f t="shared" si="5"/>
        <v>68.170000000000016</v>
      </c>
      <c r="I21" s="144">
        <f t="shared" si="6"/>
        <v>0.14841181721202626</v>
      </c>
      <c r="P21" t="s">
        <v>33</v>
      </c>
    </row>
    <row r="22" spans="1:16">
      <c r="A22" s="207" t="s">
        <v>81</v>
      </c>
      <c r="B22" s="154" t="s">
        <v>290</v>
      </c>
      <c r="C22" s="61">
        <v>125.71</v>
      </c>
      <c r="D22" s="61">
        <v>130</v>
      </c>
      <c r="E22" s="197">
        <f t="shared" ref="E22:E32" si="7">D22-C22</f>
        <v>4.2900000000000063</v>
      </c>
      <c r="F22" s="139">
        <f>_xlfn.XLOOKUP(A22,'Hummer SUV Ref'!A:A,'Hummer SUV Ref'!B:B,"")</f>
        <v>0.1</v>
      </c>
      <c r="G22" s="138">
        <f t="shared" si="0"/>
        <v>13.125</v>
      </c>
      <c r="H22" s="143">
        <f t="shared" ref="H22:H32" si="8">G22+E22</f>
        <v>17.415000000000006</v>
      </c>
      <c r="I22" s="144">
        <f t="shared" ref="I22:I32" si="9">H22/C22</f>
        <v>0.1385331318113118</v>
      </c>
    </row>
    <row r="23" spans="1:16">
      <c r="A23" s="207" t="s">
        <v>55</v>
      </c>
      <c r="B23" s="154" t="s">
        <v>291</v>
      </c>
      <c r="C23" s="61">
        <v>701.08</v>
      </c>
      <c r="D23" s="61">
        <v>725</v>
      </c>
      <c r="E23" s="197">
        <f t="shared" si="7"/>
        <v>23.919999999999959</v>
      </c>
      <c r="F23" s="139">
        <f>_xlfn.XLOOKUP(A23,'Hummer SUV Ref'!A:A,'Hummer SUV Ref'!B:B,"")</f>
        <v>0.1</v>
      </c>
      <c r="G23" s="138">
        <f t="shared" si="0"/>
        <v>13.125</v>
      </c>
      <c r="H23" s="143">
        <f t="shared" si="8"/>
        <v>37.044999999999959</v>
      </c>
      <c r="I23" s="144">
        <f t="shared" si="9"/>
        <v>5.2839904147886058E-2</v>
      </c>
    </row>
    <row r="24" spans="1:16">
      <c r="A24" s="207" t="s">
        <v>10</v>
      </c>
      <c r="B24" s="154" t="s">
        <v>365</v>
      </c>
      <c r="C24" s="61">
        <v>314.27999999999997</v>
      </c>
      <c r="D24" s="61">
        <v>325</v>
      </c>
      <c r="E24" s="197">
        <f t="shared" si="7"/>
        <v>10.720000000000027</v>
      </c>
      <c r="F24" s="139">
        <f>_xlfn.XLOOKUP(A24,'Hummer SUV Ref'!A:A,'Hummer SUV Ref'!B:B,"")</f>
        <v>0.6</v>
      </c>
      <c r="G24" s="138">
        <f t="shared" si="0"/>
        <v>78.75</v>
      </c>
      <c r="H24" s="143">
        <f t="shared" si="8"/>
        <v>89.470000000000027</v>
      </c>
      <c r="I24" s="144">
        <f t="shared" si="9"/>
        <v>0.28468244877179594</v>
      </c>
    </row>
    <row r="25" spans="1:16">
      <c r="A25" s="207" t="s">
        <v>96</v>
      </c>
      <c r="B25" s="154" t="s">
        <v>239</v>
      </c>
      <c r="C25" s="61">
        <v>604.38</v>
      </c>
      <c r="D25" s="61">
        <v>625</v>
      </c>
      <c r="E25" s="197">
        <f t="shared" si="7"/>
        <v>20.620000000000005</v>
      </c>
      <c r="F25" s="139">
        <f>_xlfn.XLOOKUP(A25,'Hummer SUV Ref'!A:A,'Hummer SUV Ref'!B:B,"")</f>
        <v>0.3</v>
      </c>
      <c r="G25" s="138">
        <f t="shared" si="0"/>
        <v>39.375</v>
      </c>
      <c r="H25" s="143">
        <f t="shared" si="8"/>
        <v>59.995000000000005</v>
      </c>
      <c r="I25" s="144">
        <f t="shared" si="9"/>
        <v>9.9267017439359354E-2</v>
      </c>
    </row>
    <row r="26" spans="1:16">
      <c r="A26" s="207" t="s">
        <v>63</v>
      </c>
      <c r="B26" s="154" t="s">
        <v>366</v>
      </c>
      <c r="C26" s="61">
        <v>410.98</v>
      </c>
      <c r="D26" s="61">
        <v>425</v>
      </c>
      <c r="E26" s="197">
        <f t="shared" si="7"/>
        <v>14.019999999999982</v>
      </c>
      <c r="F26" s="139">
        <f>_xlfn.XLOOKUP(A26,'Hummer SUV Ref'!A:A,'Hummer SUV Ref'!B:B,"")</f>
        <v>0.1</v>
      </c>
      <c r="G26" s="138">
        <f t="shared" si="0"/>
        <v>13.125</v>
      </c>
      <c r="H26" s="143">
        <f t="shared" si="8"/>
        <v>27.144999999999982</v>
      </c>
      <c r="I26" s="144">
        <f t="shared" si="9"/>
        <v>6.6049442795269794E-2</v>
      </c>
    </row>
    <row r="27" spans="1:16">
      <c r="A27" s="207" t="s">
        <v>72</v>
      </c>
      <c r="B27" s="154" t="s">
        <v>297</v>
      </c>
      <c r="C27" s="61">
        <v>232.08</v>
      </c>
      <c r="D27" s="61">
        <v>240</v>
      </c>
      <c r="E27" s="197">
        <f t="shared" si="7"/>
        <v>7.9199999999999875</v>
      </c>
      <c r="F27" s="139">
        <f>_xlfn.XLOOKUP(A27,'Hummer SUV Ref'!A:A,'Hummer SUV Ref'!B:B,"")</f>
        <v>0.1</v>
      </c>
      <c r="G27" s="138">
        <f t="shared" si="0"/>
        <v>13.125</v>
      </c>
      <c r="H27" s="143">
        <f t="shared" si="8"/>
        <v>21.044999999999987</v>
      </c>
      <c r="I27" s="144">
        <f t="shared" si="9"/>
        <v>9.0679937952430137E-2</v>
      </c>
    </row>
    <row r="28" spans="1:16">
      <c r="A28" s="207" t="s">
        <v>65</v>
      </c>
      <c r="B28" s="154" t="s">
        <v>367</v>
      </c>
      <c r="C28" s="61">
        <v>91.87</v>
      </c>
      <c r="D28" s="61">
        <v>95</v>
      </c>
      <c r="E28" s="197">
        <f t="shared" si="7"/>
        <v>3.1299999999999955</v>
      </c>
      <c r="F28" s="139">
        <f>_xlfn.XLOOKUP(A28,'Hummer SUV Ref'!A:A,'Hummer SUV Ref'!B:B,"")</f>
        <v>0.1</v>
      </c>
      <c r="G28" s="138">
        <f t="shared" si="0"/>
        <v>13.125</v>
      </c>
      <c r="H28" s="143">
        <f t="shared" si="8"/>
        <v>16.254999999999995</v>
      </c>
      <c r="I28" s="144">
        <f t="shared" si="9"/>
        <v>0.17693479917274405</v>
      </c>
    </row>
    <row r="29" spans="1:16">
      <c r="A29" s="207" t="s">
        <v>188</v>
      </c>
      <c r="B29" s="154" t="s">
        <v>235</v>
      </c>
      <c r="C29" s="61">
        <v>1933.03</v>
      </c>
      <c r="D29" s="61">
        <v>1999</v>
      </c>
      <c r="E29" s="197">
        <f t="shared" si="7"/>
        <v>65.970000000000027</v>
      </c>
      <c r="F29" s="139">
        <f>_xlfn.XLOOKUP(A29,'Hummer SUV Ref'!A:A,'Hummer SUV Ref'!B:B,"")</f>
        <v>0.1</v>
      </c>
      <c r="G29" s="138">
        <f t="shared" si="0"/>
        <v>13.125</v>
      </c>
      <c r="H29" s="143">
        <f t="shared" si="8"/>
        <v>79.095000000000027</v>
      </c>
      <c r="I29" s="144">
        <f t="shared" si="9"/>
        <v>4.0917626731090583E-2</v>
      </c>
    </row>
    <row r="30" spans="1:16">
      <c r="A30" s="207" t="s">
        <v>189</v>
      </c>
      <c r="B30" s="154" t="s">
        <v>236</v>
      </c>
      <c r="C30" s="61">
        <v>869.33</v>
      </c>
      <c r="D30" s="61">
        <v>899</v>
      </c>
      <c r="E30" s="197">
        <f t="shared" si="7"/>
        <v>29.669999999999959</v>
      </c>
      <c r="F30" s="139">
        <f>_xlfn.XLOOKUP(A30,'Hummer SUV Ref'!A:A,'Hummer SUV Ref'!B:B,"")</f>
        <v>0.1</v>
      </c>
      <c r="G30" s="138">
        <f t="shared" si="0"/>
        <v>13.125</v>
      </c>
      <c r="H30" s="143">
        <f t="shared" si="8"/>
        <v>42.794999999999959</v>
      </c>
      <c r="I30" s="144">
        <f t="shared" si="9"/>
        <v>4.9227566056618266E-2</v>
      </c>
    </row>
    <row r="31" spans="1:16">
      <c r="A31" s="207" t="s">
        <v>203</v>
      </c>
      <c r="B31" s="154" t="s">
        <v>298</v>
      </c>
      <c r="C31" s="61">
        <v>154.72</v>
      </c>
      <c r="D31" s="61">
        <v>160</v>
      </c>
      <c r="E31" s="197">
        <f t="shared" si="7"/>
        <v>5.2800000000000011</v>
      </c>
      <c r="F31" s="139">
        <f>_xlfn.XLOOKUP(A31,'Hummer SUV Ref'!A:A,'Hummer SUV Ref'!B:B,"")</f>
        <v>0.1</v>
      </c>
      <c r="G31" s="138">
        <f t="shared" si="0"/>
        <v>13.125</v>
      </c>
      <c r="H31" s="143">
        <f t="shared" si="8"/>
        <v>18.405000000000001</v>
      </c>
      <c r="I31" s="144">
        <f t="shared" si="9"/>
        <v>0.11895682523267839</v>
      </c>
    </row>
    <row r="32" spans="1:16">
      <c r="A32" s="207" t="s">
        <v>193</v>
      </c>
      <c r="B32" s="154" t="s">
        <v>237</v>
      </c>
      <c r="C32" s="61">
        <v>265.93</v>
      </c>
      <c r="D32" s="61">
        <v>275</v>
      </c>
      <c r="E32" s="197">
        <f t="shared" si="7"/>
        <v>9.0699999999999932</v>
      </c>
      <c r="F32" s="139">
        <f>_xlfn.XLOOKUP(A32,'Hummer SUV Ref'!A:A,'Hummer SUV Ref'!B:B,"")</f>
        <v>0.1</v>
      </c>
      <c r="G32" s="138">
        <f t="shared" si="0"/>
        <v>13.125</v>
      </c>
      <c r="H32" s="143">
        <f t="shared" si="8"/>
        <v>22.194999999999993</v>
      </c>
      <c r="I32" s="144">
        <f t="shared" si="9"/>
        <v>8.3461813259128312E-2</v>
      </c>
    </row>
    <row r="60" spans="22:22">
      <c r="V60" s="284"/>
    </row>
  </sheetData>
  <autoFilter ref="A4:I4" xr:uid="{00000000-0001-0000-0300-000000000000}"/>
  <sortState xmlns:xlrd2="http://schemas.microsoft.com/office/spreadsheetml/2017/richdata2" ref="A11:I11">
    <sortCondition descending="1" ref="I11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96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19FA2-276C-44F6-8F24-F9825CC8FD0C}">
  <sheetPr codeName="Sheet12">
    <tabColor theme="4" tint="-0.249977111117893"/>
  </sheetPr>
  <dimension ref="A1:V60"/>
  <sheetViews>
    <sheetView topLeftCell="A22" workbookViewId="0">
      <selection activeCell="O91" sqref="O91"/>
    </sheetView>
  </sheetViews>
  <sheetFormatPr defaultRowHeight="15"/>
  <sheetData>
    <row r="1" spans="1:2">
      <c r="A1" t="s">
        <v>55</v>
      </c>
      <c r="B1">
        <v>0.1</v>
      </c>
    </row>
    <row r="2" spans="1:2">
      <c r="A2" t="s">
        <v>200</v>
      </c>
      <c r="B2">
        <v>0.7</v>
      </c>
    </row>
    <row r="3" spans="1:2">
      <c r="A3" t="s">
        <v>188</v>
      </c>
      <c r="B3">
        <v>0.1</v>
      </c>
    </row>
    <row r="4" spans="1:2">
      <c r="A4" t="s">
        <v>189</v>
      </c>
      <c r="B4">
        <v>0.1</v>
      </c>
    </row>
    <row r="5" spans="1:2">
      <c r="A5" t="s">
        <v>193</v>
      </c>
      <c r="B5">
        <v>0.1</v>
      </c>
    </row>
    <row r="6" spans="1:2">
      <c r="A6" t="s">
        <v>17</v>
      </c>
      <c r="B6">
        <v>0.6</v>
      </c>
    </row>
    <row r="7" spans="1:2">
      <c r="A7" t="s">
        <v>219</v>
      </c>
      <c r="B7">
        <v>1</v>
      </c>
    </row>
    <row r="8" spans="1:2">
      <c r="A8" t="s">
        <v>410</v>
      </c>
      <c r="B8">
        <v>1</v>
      </c>
    </row>
    <row r="9" spans="1:2">
      <c r="A9" t="s">
        <v>50</v>
      </c>
      <c r="B9">
        <v>0.5</v>
      </c>
    </row>
    <row r="10" spans="1:2">
      <c r="A10" t="s">
        <v>362</v>
      </c>
      <c r="B10">
        <v>0.2</v>
      </c>
    </row>
    <row r="11" spans="1:2">
      <c r="A11" t="s">
        <v>280</v>
      </c>
      <c r="B11">
        <v>1</v>
      </c>
    </row>
    <row r="12" spans="1:2">
      <c r="A12" t="s">
        <v>107</v>
      </c>
      <c r="B12">
        <v>0.6</v>
      </c>
    </row>
    <row r="13" spans="1:2">
      <c r="A13" t="s">
        <v>212</v>
      </c>
      <c r="B13">
        <v>0.6</v>
      </c>
    </row>
    <row r="14" spans="1:2">
      <c r="A14" t="s">
        <v>10</v>
      </c>
      <c r="B14">
        <v>0.6</v>
      </c>
    </row>
    <row r="15" spans="1:2">
      <c r="A15" t="s">
        <v>217</v>
      </c>
      <c r="B15">
        <v>0.6</v>
      </c>
    </row>
    <row r="16" spans="1:2">
      <c r="A16" t="s">
        <v>96</v>
      </c>
      <c r="B16">
        <v>0.3</v>
      </c>
    </row>
    <row r="17" spans="1:9">
      <c r="A17" t="s">
        <v>18</v>
      </c>
      <c r="B17">
        <v>0.4</v>
      </c>
    </row>
    <row r="18" spans="1:9">
      <c r="A18" t="s">
        <v>155</v>
      </c>
      <c r="B18">
        <v>1.3</v>
      </c>
    </row>
    <row r="19" spans="1:9">
      <c r="A19" t="s">
        <v>72</v>
      </c>
      <c r="B19">
        <v>0.1</v>
      </c>
    </row>
    <row r="20" spans="1:9">
      <c r="A20" t="s">
        <v>59</v>
      </c>
      <c r="B20">
        <v>0.1</v>
      </c>
    </row>
    <row r="21" spans="1:9">
      <c r="A21" t="s">
        <v>68</v>
      </c>
      <c r="B21">
        <v>0.1</v>
      </c>
    </row>
    <row r="22" spans="1:9">
      <c r="A22" t="s">
        <v>162</v>
      </c>
      <c r="B22">
        <v>0.1</v>
      </c>
    </row>
    <row r="23" spans="1:9">
      <c r="A23" t="s">
        <v>93</v>
      </c>
      <c r="B23">
        <v>0.1</v>
      </c>
    </row>
    <row r="24" spans="1:9">
      <c r="A24" t="s">
        <v>282</v>
      </c>
      <c r="B24">
        <v>0.1</v>
      </c>
    </row>
    <row r="25" spans="1:9">
      <c r="A25" t="s">
        <v>63</v>
      </c>
      <c r="B25">
        <v>0.1</v>
      </c>
      <c r="I25" s="64"/>
    </row>
    <row r="26" spans="1:9">
      <c r="A26" t="s">
        <v>65</v>
      </c>
      <c r="B26">
        <v>0.1</v>
      </c>
      <c r="H26" s="64"/>
      <c r="I26" s="64"/>
    </row>
    <row r="27" spans="1:9">
      <c r="A27" t="s">
        <v>276</v>
      </c>
      <c r="B27">
        <v>0.3</v>
      </c>
      <c r="H27" s="64"/>
      <c r="I27" s="64"/>
    </row>
    <row r="28" spans="1:9">
      <c r="A28" t="s">
        <v>428</v>
      </c>
      <c r="B28">
        <v>0.2</v>
      </c>
      <c r="H28" s="64"/>
      <c r="I28" s="64"/>
    </row>
    <row r="29" spans="1:9">
      <c r="A29" t="s">
        <v>286</v>
      </c>
      <c r="B29">
        <v>0.8</v>
      </c>
      <c r="H29" s="64"/>
      <c r="I29" s="64"/>
    </row>
    <row r="30" spans="1:9">
      <c r="A30" t="s">
        <v>81</v>
      </c>
      <c r="B30">
        <v>0.1</v>
      </c>
      <c r="H30" s="64"/>
      <c r="I30" s="64"/>
    </row>
    <row r="31" spans="1:9">
      <c r="A31" t="s">
        <v>15</v>
      </c>
      <c r="B31">
        <v>0.1</v>
      </c>
    </row>
    <row r="32" spans="1:9">
      <c r="A32" t="s">
        <v>414</v>
      </c>
      <c r="B32">
        <v>0.8</v>
      </c>
    </row>
    <row r="33" spans="1:14">
      <c r="A33" t="s">
        <v>274</v>
      </c>
      <c r="B33">
        <v>0.2</v>
      </c>
      <c r="N33" s="64"/>
    </row>
    <row r="34" spans="1:14">
      <c r="A34" t="s">
        <v>124</v>
      </c>
      <c r="B34">
        <v>0.8</v>
      </c>
    </row>
    <row r="35" spans="1:14">
      <c r="A35" t="s">
        <v>105</v>
      </c>
      <c r="B35">
        <v>0.4</v>
      </c>
    </row>
    <row r="36" spans="1:14">
      <c r="A36" t="s">
        <v>203</v>
      </c>
      <c r="B36">
        <v>0.1</v>
      </c>
    </row>
    <row r="37" spans="1:14">
      <c r="A37" t="s">
        <v>97</v>
      </c>
      <c r="B37">
        <f ca="1">+OFFSET(RZU,0,1)+OFFSET(S3O,0,1)+OFFSET(VBP,0,1)+OFFSET(SIM,0,1)</f>
        <v>4</v>
      </c>
    </row>
    <row r="38" spans="1:14">
      <c r="A38" t="s">
        <v>9</v>
      </c>
      <c r="B38">
        <f ca="1">+OFFSET(RIK,0,1)+OFFSET(SDA,0,1)</f>
        <v>1.2</v>
      </c>
    </row>
    <row r="39" spans="1:14">
      <c r="A39" t="s">
        <v>270</v>
      </c>
      <c r="B39">
        <f ca="1">+OFFSET(SDA,0,1)+OFFSET(S6L,0,1)</f>
        <v>1.1000000000000001</v>
      </c>
    </row>
    <row r="40" spans="1:14">
      <c r="A40" t="s">
        <v>149</v>
      </c>
      <c r="B40">
        <f ca="1">+OFFSET(W0H,0,1)+OFFSET(RIK,0,1)+OFFSET(RZK,0,1)+OFFSET(RZT,0,1)</f>
        <v>2.2000000000000002</v>
      </c>
    </row>
    <row r="41" spans="1:14">
      <c r="A41" t="s">
        <v>20</v>
      </c>
      <c r="B41">
        <f ca="1">+OFFSET(SBZ,0,1)+OFFSET(RIK,0,1)+OFFSET(VQK,0,1)+OFFSET(ULK,0,1)</f>
        <v>2.2000000000000002</v>
      </c>
    </row>
    <row r="42" spans="1:14">
      <c r="A42" t="s">
        <v>109</v>
      </c>
      <c r="B42">
        <f ca="1">+OFFSET(CAV,0,1)+OFFSET(VRS,0,1)+OFFSET(W2D,0,1)</f>
        <v>0.30000000000000004</v>
      </c>
    </row>
    <row r="60" spans="22:22">
      <c r="V60" s="284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activeCell="K3" sqref="K3"/>
    </sheetView>
  </sheetViews>
  <sheetFormatPr defaultRowHeight="15"/>
  <cols>
    <col min="1" max="1" width="8.7109375" customWidth="1"/>
    <col min="2" max="2" width="62.28515625" style="12" bestFit="1" customWidth="1"/>
    <col min="3" max="4" width="12.7109375" style="1" customWidth="1"/>
    <col min="5" max="5" width="12.7109375" customWidth="1"/>
    <col min="6" max="6" width="12.7109375" style="9" customWidth="1"/>
    <col min="7" max="7" width="12.7109375" style="1" customWidth="1"/>
    <col min="8" max="8" width="12.7109375" style="3" customWidth="1"/>
    <col min="9" max="9" width="12.7109375" style="2" customWidth="1"/>
    <col min="11" max="11" width="21.42578125" bestFit="1" customWidth="1"/>
  </cols>
  <sheetData>
    <row r="1" spans="1:9" ht="24" thickBot="1">
      <c r="A1" s="322" t="s">
        <v>435</v>
      </c>
      <c r="B1" s="323"/>
      <c r="C1" s="323"/>
      <c r="D1" s="323"/>
      <c r="E1" s="323"/>
      <c r="F1" s="323"/>
      <c r="G1" s="323"/>
      <c r="H1" s="323"/>
      <c r="I1" s="324"/>
    </row>
    <row r="2" spans="1:9" s="5" customFormat="1" ht="12" customHeight="1" thickBot="1">
      <c r="A2" s="27"/>
      <c r="B2" s="27"/>
      <c r="C2" s="22"/>
      <c r="D2" s="22"/>
      <c r="E2" s="22"/>
      <c r="F2" s="22"/>
      <c r="G2" s="22"/>
      <c r="H2" s="22"/>
      <c r="I2" s="23"/>
    </row>
    <row r="3" spans="1:9" ht="24" thickBot="1">
      <c r="A3" s="28"/>
      <c r="B3" s="28"/>
      <c r="C3" s="329" t="s">
        <v>170</v>
      </c>
      <c r="D3" s="330"/>
      <c r="E3" s="331"/>
      <c r="F3" s="329" t="s">
        <v>171</v>
      </c>
      <c r="G3" s="331"/>
      <c r="H3" s="329" t="s">
        <v>172</v>
      </c>
      <c r="I3" s="331"/>
    </row>
    <row r="4" spans="1:9" ht="45.75" customHeight="1" thickBot="1">
      <c r="A4" s="33" t="s">
        <v>0</v>
      </c>
      <c r="B4" s="31" t="s">
        <v>1</v>
      </c>
      <c r="C4" s="71" t="s">
        <v>3</v>
      </c>
      <c r="D4" s="72" t="s">
        <v>4</v>
      </c>
      <c r="E4" s="37" t="s">
        <v>6</v>
      </c>
      <c r="F4" s="80" t="s">
        <v>2</v>
      </c>
      <c r="G4" s="38" t="s">
        <v>5</v>
      </c>
      <c r="H4" s="39" t="s">
        <v>7</v>
      </c>
      <c r="I4" s="26" t="s">
        <v>8</v>
      </c>
    </row>
    <row r="5" spans="1:9" ht="15" customHeight="1" thickBot="1">
      <c r="A5" s="258" t="s">
        <v>149</v>
      </c>
      <c r="B5" s="265" t="s">
        <v>436</v>
      </c>
      <c r="C5" s="259">
        <v>2816.45</v>
      </c>
      <c r="D5" s="260">
        <v>3095</v>
      </c>
      <c r="E5" s="145">
        <f t="shared" ref="E5:E10" si="0">D5-C5</f>
        <v>278.55000000000018</v>
      </c>
      <c r="F5" s="129">
        <f ca="1">_xlfn.XLOOKUP(A5,'Canyon Ref'!A:A,'Canyon Ref'!B:B,"")</f>
        <v>3.1</v>
      </c>
      <c r="G5" s="68">
        <f t="shared" ref="G5:G34" ca="1" si="1">(F5*Labor)*SvcGross</f>
        <v>406.875</v>
      </c>
      <c r="H5" s="36">
        <f t="shared" ref="H5:H9" ca="1" si="2">G5+E5</f>
        <v>685.42500000000018</v>
      </c>
      <c r="I5" s="67">
        <f t="shared" ref="I5:I10" ca="1" si="3">H5/C5</f>
        <v>0.24336487422109401</v>
      </c>
    </row>
    <row r="6" spans="1:9" ht="15" customHeight="1" thickBot="1">
      <c r="A6" s="261" t="s">
        <v>150</v>
      </c>
      <c r="B6" s="266" t="s">
        <v>241</v>
      </c>
      <c r="C6" s="120">
        <v>682.5</v>
      </c>
      <c r="D6" s="262">
        <v>750</v>
      </c>
      <c r="E6" s="145">
        <f t="shared" si="0"/>
        <v>67.5</v>
      </c>
      <c r="F6" s="129">
        <f ca="1">_xlfn.XLOOKUP(A6,'Canyon Ref'!A:A,'Canyon Ref'!B:B,"")</f>
        <v>1</v>
      </c>
      <c r="G6" s="68">
        <f t="shared" ca="1" si="1"/>
        <v>131.25</v>
      </c>
      <c r="H6" s="34">
        <f t="shared" ca="1" si="2"/>
        <v>198.75</v>
      </c>
      <c r="I6" s="67">
        <f t="shared" ca="1" si="3"/>
        <v>0.29120879120879123</v>
      </c>
    </row>
    <row r="7" spans="1:9" ht="15" customHeight="1" thickBot="1">
      <c r="A7" s="261" t="s">
        <v>73</v>
      </c>
      <c r="B7" s="266" t="s">
        <v>242</v>
      </c>
      <c r="C7" s="120">
        <v>3139.5</v>
      </c>
      <c r="D7" s="262">
        <v>3450</v>
      </c>
      <c r="E7" s="145">
        <f t="shared" si="0"/>
        <v>310.5</v>
      </c>
      <c r="F7" s="129">
        <f ca="1">_xlfn.XLOOKUP(A7,'Canyon Ref'!A:A,'Canyon Ref'!B:B,"")</f>
        <v>5.5</v>
      </c>
      <c r="G7" s="68">
        <f t="shared" ca="1" si="1"/>
        <v>721.875</v>
      </c>
      <c r="H7" s="35">
        <f t="shared" ca="1" si="2"/>
        <v>1032.375</v>
      </c>
      <c r="I7" s="67">
        <f t="shared" ca="1" si="3"/>
        <v>0.32883420926899187</v>
      </c>
    </row>
    <row r="8" spans="1:9" ht="15" customHeight="1" thickBot="1">
      <c r="A8" s="261" t="s">
        <v>109</v>
      </c>
      <c r="B8" s="266" t="s">
        <v>243</v>
      </c>
      <c r="C8" s="120">
        <v>682.5</v>
      </c>
      <c r="D8" s="262">
        <v>750</v>
      </c>
      <c r="E8" s="145">
        <f t="shared" si="0"/>
        <v>67.5</v>
      </c>
      <c r="F8" s="129">
        <f ca="1">_xlfn.XLOOKUP(A8,'Canyon Ref'!A:A,'Canyon Ref'!B:B,"")</f>
        <v>0.9</v>
      </c>
      <c r="G8" s="68">
        <f t="shared" ca="1" si="1"/>
        <v>118.125</v>
      </c>
      <c r="H8" s="35">
        <f t="shared" ca="1" si="2"/>
        <v>185.625</v>
      </c>
      <c r="I8" s="67">
        <f t="shared" ca="1" si="3"/>
        <v>0.27197802197802196</v>
      </c>
    </row>
    <row r="9" spans="1:9" ht="15.75" customHeight="1" thickBot="1">
      <c r="A9" s="261" t="s">
        <v>122</v>
      </c>
      <c r="B9" s="266" t="s">
        <v>437</v>
      </c>
      <c r="C9" s="120">
        <v>3503.5</v>
      </c>
      <c r="D9" s="262">
        <v>3850</v>
      </c>
      <c r="E9" s="145">
        <f t="shared" si="0"/>
        <v>346.5</v>
      </c>
      <c r="F9" s="129">
        <f ca="1">_xlfn.XLOOKUP(A9,'Canyon Ref'!A:A,'Canyon Ref'!B:B,"")</f>
        <v>3.2</v>
      </c>
      <c r="G9" s="68">
        <f t="shared" ca="1" si="1"/>
        <v>420</v>
      </c>
      <c r="H9" s="35">
        <f t="shared" ca="1" si="2"/>
        <v>766.5</v>
      </c>
      <c r="I9" s="67">
        <f t="shared" ca="1" si="3"/>
        <v>0.21878121878121878</v>
      </c>
    </row>
    <row r="10" spans="1:9" ht="15.75" thickBot="1">
      <c r="A10" s="261" t="s">
        <v>34</v>
      </c>
      <c r="B10" s="266" t="s">
        <v>438</v>
      </c>
      <c r="C10" s="120">
        <v>2179.4499999999998</v>
      </c>
      <c r="D10" s="262">
        <v>2395</v>
      </c>
      <c r="E10" s="145">
        <f t="shared" si="0"/>
        <v>215.55000000000018</v>
      </c>
      <c r="F10" s="129">
        <f ca="1">_xlfn.XLOOKUP(A10,'Canyon Ref'!A:A,'Canyon Ref'!B:B,"")</f>
        <v>4.7</v>
      </c>
      <c r="G10" s="68">
        <f t="shared" ca="1" si="1"/>
        <v>616.875</v>
      </c>
      <c r="H10" s="34">
        <f t="shared" ref="H10:H16" ca="1" si="4">G10+E10</f>
        <v>832.42500000000018</v>
      </c>
      <c r="I10" s="67">
        <f t="shared" ca="1" si="3"/>
        <v>0.38194269196356889</v>
      </c>
    </row>
    <row r="11" spans="1:9" ht="15.75" thickBot="1">
      <c r="A11" s="261" t="s">
        <v>126</v>
      </c>
      <c r="B11" s="266" t="s">
        <v>244</v>
      </c>
      <c r="C11" s="120">
        <v>1592.5</v>
      </c>
      <c r="D11" s="262">
        <v>1750</v>
      </c>
      <c r="E11" s="145">
        <f t="shared" ref="E11:E45" si="5">D11-C11</f>
        <v>157.5</v>
      </c>
      <c r="F11" s="129">
        <f ca="1">_xlfn.XLOOKUP(A11,'Canyon Ref'!A:A,'Canyon Ref'!B:B,"")</f>
        <v>1.5</v>
      </c>
      <c r="G11" s="68">
        <f t="shared" ca="1" si="1"/>
        <v>196.875</v>
      </c>
      <c r="H11" s="35">
        <f t="shared" ca="1" si="4"/>
        <v>354.375</v>
      </c>
      <c r="I11" s="67">
        <f t="shared" ref="I11:I45" ca="1" si="6">H11/C11</f>
        <v>0.22252747252747251</v>
      </c>
    </row>
    <row r="12" spans="1:9" ht="15.75" thickBot="1">
      <c r="A12" s="267" t="s">
        <v>254</v>
      </c>
      <c r="B12" s="268" t="s">
        <v>439</v>
      </c>
      <c r="C12" s="180">
        <v>541.45000000000005</v>
      </c>
      <c r="D12" s="269">
        <v>595</v>
      </c>
      <c r="E12" s="145">
        <f t="shared" si="5"/>
        <v>53.549999999999955</v>
      </c>
      <c r="F12" s="129">
        <f ca="1">_xlfn.XLOOKUP(A12,'Canyon Ref'!A:A,'Canyon Ref'!B:B,"")</f>
        <v>1.6</v>
      </c>
      <c r="G12" s="68">
        <f t="shared" ca="1" si="1"/>
        <v>210</v>
      </c>
      <c r="H12" s="35">
        <f t="shared" ca="1" si="4"/>
        <v>263.54999999999995</v>
      </c>
      <c r="I12" s="67">
        <f t="shared" ca="1" si="6"/>
        <v>0.48674854557207486</v>
      </c>
    </row>
    <row r="13" spans="1:9" ht="15" customHeight="1" thickBot="1">
      <c r="A13" s="270" t="s">
        <v>100</v>
      </c>
      <c r="B13" s="270" t="s">
        <v>101</v>
      </c>
      <c r="C13" s="163">
        <v>113.75</v>
      </c>
      <c r="D13" s="163">
        <v>125</v>
      </c>
      <c r="E13" s="145">
        <f>D13-C13</f>
        <v>11.25</v>
      </c>
      <c r="F13" s="129">
        <f>_xlfn.XLOOKUP(A13,'Canyon Ref'!A:A,'Canyon Ref'!B:B,"")</f>
        <v>0.1</v>
      </c>
      <c r="G13" s="68">
        <f>(F13*Labor)*SvcGross</f>
        <v>13.125</v>
      </c>
      <c r="H13" s="36">
        <f>G13+E13</f>
        <v>24.375</v>
      </c>
      <c r="I13" s="67">
        <f>H13/C13</f>
        <v>0.21428571428571427</v>
      </c>
    </row>
    <row r="14" spans="1:9" ht="15" customHeight="1" thickBot="1">
      <c r="A14" s="270" t="s">
        <v>103</v>
      </c>
      <c r="B14" s="270" t="s">
        <v>206</v>
      </c>
      <c r="C14" s="163">
        <v>359.45</v>
      </c>
      <c r="D14" s="163">
        <v>395</v>
      </c>
      <c r="E14" s="145">
        <f>D14-C14</f>
        <v>35.550000000000011</v>
      </c>
      <c r="F14" s="129">
        <f>_xlfn.XLOOKUP(A14,'Canyon Ref'!A:A,'Canyon Ref'!B:B,"")</f>
        <v>1</v>
      </c>
      <c r="G14" s="68">
        <f>(F14*Labor)*SvcGross</f>
        <v>131.25</v>
      </c>
      <c r="H14" s="36">
        <f>G14+E14</f>
        <v>166.8</v>
      </c>
      <c r="I14" s="67">
        <f>H14/C14</f>
        <v>0.46404228682709697</v>
      </c>
    </row>
    <row r="15" spans="1:9" ht="15" customHeight="1" thickBot="1">
      <c r="A15" s="270" t="s">
        <v>129</v>
      </c>
      <c r="B15" s="270" t="s">
        <v>130</v>
      </c>
      <c r="C15" s="163">
        <v>1205.75</v>
      </c>
      <c r="D15" s="163">
        <v>1325</v>
      </c>
      <c r="E15" s="145">
        <f>D15-C15</f>
        <v>119.25</v>
      </c>
      <c r="F15" s="129">
        <f>_xlfn.XLOOKUP(A15,'Canyon Ref'!A:A,'Canyon Ref'!B:B,"")</f>
        <v>4</v>
      </c>
      <c r="G15" s="68">
        <f>(F15*Labor)*SvcGross</f>
        <v>525</v>
      </c>
      <c r="H15" s="36">
        <f>G15+E15</f>
        <v>644.25</v>
      </c>
      <c r="I15" s="67">
        <f>H15/C15</f>
        <v>0.53431474186191164</v>
      </c>
    </row>
    <row r="16" spans="1:9" ht="15.75" thickBot="1">
      <c r="A16" s="270" t="s">
        <v>36</v>
      </c>
      <c r="B16" s="270" t="s">
        <v>153</v>
      </c>
      <c r="C16" s="163">
        <v>241.15</v>
      </c>
      <c r="D16" s="163">
        <v>265</v>
      </c>
      <c r="E16" s="145">
        <f t="shared" si="5"/>
        <v>23.849999999999994</v>
      </c>
      <c r="F16" s="129">
        <f>_xlfn.XLOOKUP(A16,'Canyon Ref'!A:A,'Canyon Ref'!B:B,"")</f>
        <v>0.2</v>
      </c>
      <c r="G16" s="68">
        <f t="shared" si="1"/>
        <v>26.25</v>
      </c>
      <c r="H16" s="35">
        <f t="shared" si="4"/>
        <v>50.099999999999994</v>
      </c>
      <c r="I16" s="67">
        <f t="shared" si="6"/>
        <v>0.20775450964130207</v>
      </c>
    </row>
    <row r="17" spans="1:9" ht="15.75" thickBot="1">
      <c r="A17" s="270" t="s">
        <v>17</v>
      </c>
      <c r="B17" s="270" t="s">
        <v>255</v>
      </c>
      <c r="C17" s="163">
        <v>227.5</v>
      </c>
      <c r="D17" s="163">
        <v>250</v>
      </c>
      <c r="E17" s="145">
        <f t="shared" si="5"/>
        <v>22.5</v>
      </c>
      <c r="F17" s="129">
        <f>_xlfn.XLOOKUP(A17,'Canyon Ref'!A:A,'Canyon Ref'!B:B,"")</f>
        <v>0.6</v>
      </c>
      <c r="G17" s="68">
        <f t="shared" si="1"/>
        <v>78.75</v>
      </c>
      <c r="H17" s="35">
        <f t="shared" ref="H17:H45" si="7">G17+E17</f>
        <v>101.25</v>
      </c>
      <c r="I17" s="67">
        <f t="shared" si="6"/>
        <v>0.44505494505494503</v>
      </c>
    </row>
    <row r="18" spans="1:9" ht="15.75" thickBot="1">
      <c r="A18" s="270" t="s">
        <v>104</v>
      </c>
      <c r="B18" s="270" t="s">
        <v>174</v>
      </c>
      <c r="C18" s="163">
        <v>978.25</v>
      </c>
      <c r="D18" s="163">
        <v>1075</v>
      </c>
      <c r="E18" s="145">
        <f t="shared" si="5"/>
        <v>96.75</v>
      </c>
      <c r="F18" s="129">
        <f>_xlfn.XLOOKUP(A18,'Canyon Ref'!A:A,'Canyon Ref'!B:B,"")</f>
        <v>1</v>
      </c>
      <c r="G18" s="68">
        <f t="shared" si="1"/>
        <v>131.25</v>
      </c>
      <c r="H18" s="35">
        <f t="shared" si="7"/>
        <v>228</v>
      </c>
      <c r="I18" s="67">
        <f t="shared" si="6"/>
        <v>0.23306925632507028</v>
      </c>
    </row>
    <row r="19" spans="1:9" ht="15.75" thickBot="1">
      <c r="A19" s="270" t="s">
        <v>218</v>
      </c>
      <c r="B19" s="270" t="s">
        <v>256</v>
      </c>
      <c r="C19" s="163">
        <v>1160.25</v>
      </c>
      <c r="D19" s="163">
        <v>1275</v>
      </c>
      <c r="E19" s="145">
        <f t="shared" si="5"/>
        <v>114.75</v>
      </c>
      <c r="F19" s="129">
        <f>_xlfn.XLOOKUP(A19,'Canyon Ref'!A:A,'Canyon Ref'!B:B,"")</f>
        <v>0.8</v>
      </c>
      <c r="G19" s="68">
        <f t="shared" si="1"/>
        <v>105</v>
      </c>
      <c r="H19" s="35">
        <f t="shared" si="7"/>
        <v>219.75</v>
      </c>
      <c r="I19" s="67">
        <f t="shared" si="6"/>
        <v>0.18939883645765998</v>
      </c>
    </row>
    <row r="20" spans="1:9" ht="15.75" thickBot="1">
      <c r="A20" s="270" t="s">
        <v>131</v>
      </c>
      <c r="B20" s="270" t="s">
        <v>207</v>
      </c>
      <c r="C20" s="163">
        <v>2502.5</v>
      </c>
      <c r="D20" s="163">
        <v>2750</v>
      </c>
      <c r="E20" s="145">
        <f t="shared" si="5"/>
        <v>247.5</v>
      </c>
      <c r="F20" s="129">
        <f>_xlfn.XLOOKUP(A20,'Canyon Ref'!A:A,'Canyon Ref'!B:B,"")</f>
        <v>2</v>
      </c>
      <c r="G20" s="68">
        <f t="shared" si="1"/>
        <v>262.5</v>
      </c>
      <c r="H20" s="35">
        <f t="shared" si="7"/>
        <v>510</v>
      </c>
      <c r="I20" s="67">
        <f t="shared" si="6"/>
        <v>0.20379620379620381</v>
      </c>
    </row>
    <row r="21" spans="1:9" ht="15.75" thickBot="1">
      <c r="A21" s="270" t="s">
        <v>132</v>
      </c>
      <c r="B21" s="270" t="s">
        <v>208</v>
      </c>
      <c r="C21" s="163">
        <v>359.45</v>
      </c>
      <c r="D21" s="163">
        <v>395</v>
      </c>
      <c r="E21" s="145">
        <f t="shared" si="5"/>
        <v>35.550000000000011</v>
      </c>
      <c r="F21" s="129">
        <f>_xlfn.XLOOKUP(A21,'Canyon Ref'!A:A,'Canyon Ref'!B:B,"")</f>
        <v>0.8</v>
      </c>
      <c r="G21" s="68">
        <f t="shared" si="1"/>
        <v>105</v>
      </c>
      <c r="H21" s="35">
        <f t="shared" si="7"/>
        <v>140.55000000000001</v>
      </c>
      <c r="I21" s="67">
        <f t="shared" si="6"/>
        <v>0.39101404924189737</v>
      </c>
    </row>
    <row r="22" spans="1:9" ht="15.75" thickBot="1">
      <c r="A22" s="270" t="s">
        <v>110</v>
      </c>
      <c r="B22" s="270" t="s">
        <v>194</v>
      </c>
      <c r="C22" s="163">
        <v>591.5</v>
      </c>
      <c r="D22" s="163">
        <v>650</v>
      </c>
      <c r="E22" s="145">
        <f t="shared" si="5"/>
        <v>58.5</v>
      </c>
      <c r="F22" s="129">
        <f>_xlfn.XLOOKUP(A22,'Canyon Ref'!A:A,'Canyon Ref'!B:B,"")</f>
        <v>1</v>
      </c>
      <c r="G22" s="68">
        <f t="shared" si="1"/>
        <v>131.25</v>
      </c>
      <c r="H22" s="35">
        <f t="shared" si="7"/>
        <v>189.75</v>
      </c>
      <c r="I22" s="67">
        <f t="shared" si="6"/>
        <v>0.32079459002535926</v>
      </c>
    </row>
    <row r="23" spans="1:9" ht="15.75" thickBot="1">
      <c r="A23" s="270" t="s">
        <v>71</v>
      </c>
      <c r="B23" s="270" t="s">
        <v>113</v>
      </c>
      <c r="C23" s="163">
        <v>409.5</v>
      </c>
      <c r="D23" s="163">
        <v>450</v>
      </c>
      <c r="E23" s="145">
        <f t="shared" si="5"/>
        <v>40.5</v>
      </c>
      <c r="F23" s="129">
        <f>_xlfn.XLOOKUP(A23,'Canyon Ref'!A:A,'Canyon Ref'!B:B,"")</f>
        <v>0.6</v>
      </c>
      <c r="G23" s="68">
        <f t="shared" si="1"/>
        <v>78.75</v>
      </c>
      <c r="H23" s="35">
        <f t="shared" si="7"/>
        <v>119.25</v>
      </c>
      <c r="I23" s="67">
        <f t="shared" si="6"/>
        <v>0.29120879120879123</v>
      </c>
    </row>
    <row r="24" spans="1:9" ht="15.75" thickBot="1">
      <c r="A24" s="270" t="s">
        <v>133</v>
      </c>
      <c r="B24" s="270" t="s">
        <v>209</v>
      </c>
      <c r="C24" s="163">
        <v>109.2</v>
      </c>
      <c r="D24" s="163">
        <v>120</v>
      </c>
      <c r="E24" s="145">
        <f t="shared" si="5"/>
        <v>10.799999999999997</v>
      </c>
      <c r="F24" s="129">
        <f>_xlfn.XLOOKUP(A24,'Canyon Ref'!A:A,'Canyon Ref'!B:B,"")</f>
        <v>0.3</v>
      </c>
      <c r="G24" s="68">
        <f t="shared" si="1"/>
        <v>39.375</v>
      </c>
      <c r="H24" s="35">
        <f t="shared" si="7"/>
        <v>50.174999999999997</v>
      </c>
      <c r="I24" s="67">
        <f t="shared" si="6"/>
        <v>0.45947802197802196</v>
      </c>
    </row>
    <row r="25" spans="1:9" ht="15.75" thickBot="1">
      <c r="A25" s="270" t="s">
        <v>257</v>
      </c>
      <c r="B25" s="270" t="s">
        <v>258</v>
      </c>
      <c r="C25" s="163">
        <v>2543.4499999999998</v>
      </c>
      <c r="D25" s="163">
        <v>2795</v>
      </c>
      <c r="E25" s="145">
        <f t="shared" si="5"/>
        <v>251.55000000000018</v>
      </c>
      <c r="F25" s="129">
        <f>_xlfn.XLOOKUP(A25,'Canyon Ref'!A:A,'Canyon Ref'!B:B,"")</f>
        <v>1</v>
      </c>
      <c r="G25" s="68">
        <f t="shared" si="1"/>
        <v>131.25</v>
      </c>
      <c r="H25" s="35">
        <f t="shared" si="7"/>
        <v>382.80000000000018</v>
      </c>
      <c r="I25" s="67">
        <f t="shared" si="6"/>
        <v>0.1505042363718572</v>
      </c>
    </row>
    <row r="26" spans="1:9" ht="15.75" thickBot="1">
      <c r="A26" s="270" t="s">
        <v>111</v>
      </c>
      <c r="B26" s="270" t="s">
        <v>210</v>
      </c>
      <c r="C26" s="163">
        <v>841.75</v>
      </c>
      <c r="D26" s="163">
        <v>925</v>
      </c>
      <c r="E26" s="145">
        <f t="shared" si="5"/>
        <v>83.25</v>
      </c>
      <c r="F26" s="129">
        <f>_xlfn.XLOOKUP(A26,'Canyon Ref'!A:A,'Canyon Ref'!B:B,"")</f>
        <v>1</v>
      </c>
      <c r="G26" s="68">
        <f t="shared" si="1"/>
        <v>131.25</v>
      </c>
      <c r="H26" s="35">
        <f t="shared" si="7"/>
        <v>214.5</v>
      </c>
      <c r="I26" s="67">
        <f t="shared" si="6"/>
        <v>0.25482625482625482</v>
      </c>
    </row>
    <row r="27" spans="1:9" ht="15.75" thickBot="1">
      <c r="A27" s="270" t="s">
        <v>134</v>
      </c>
      <c r="B27" s="270" t="s">
        <v>135</v>
      </c>
      <c r="C27" s="163">
        <v>136.5</v>
      </c>
      <c r="D27" s="163">
        <v>150</v>
      </c>
      <c r="E27" s="145">
        <f t="shared" si="5"/>
        <v>13.5</v>
      </c>
      <c r="F27" s="129">
        <f>_xlfn.XLOOKUP(A27,'Canyon Ref'!A:A,'Canyon Ref'!B:B,"")</f>
        <v>0.2</v>
      </c>
      <c r="G27" s="68">
        <f t="shared" si="1"/>
        <v>26.25</v>
      </c>
      <c r="H27" s="35">
        <f t="shared" si="7"/>
        <v>39.75</v>
      </c>
      <c r="I27" s="67">
        <f t="shared" si="6"/>
        <v>0.29120879120879123</v>
      </c>
    </row>
    <row r="28" spans="1:9" ht="15.75" thickBot="1">
      <c r="A28" s="270" t="s">
        <v>15</v>
      </c>
      <c r="B28" s="270" t="s">
        <v>125</v>
      </c>
      <c r="C28" s="163">
        <v>113.75</v>
      </c>
      <c r="D28" s="163">
        <v>125</v>
      </c>
      <c r="E28" s="145">
        <f t="shared" si="5"/>
        <v>11.25</v>
      </c>
      <c r="F28" s="129">
        <f>_xlfn.XLOOKUP(A28,'Canyon Ref'!A:A,'Canyon Ref'!B:B,"")</f>
        <v>0.1</v>
      </c>
      <c r="G28" s="68">
        <f t="shared" si="1"/>
        <v>13.125</v>
      </c>
      <c r="H28" s="35">
        <f t="shared" si="7"/>
        <v>24.375</v>
      </c>
      <c r="I28" s="67">
        <f t="shared" si="6"/>
        <v>0.21428571428571427</v>
      </c>
    </row>
    <row r="29" spans="1:9" ht="15.75" thickBot="1">
      <c r="A29" s="270" t="s">
        <v>12</v>
      </c>
      <c r="B29" s="270" t="s">
        <v>259</v>
      </c>
      <c r="C29" s="163">
        <v>295.75</v>
      </c>
      <c r="D29" s="163">
        <v>325</v>
      </c>
      <c r="E29" s="145">
        <f t="shared" si="5"/>
        <v>29.25</v>
      </c>
      <c r="F29" s="129">
        <f>_xlfn.XLOOKUP(A29,'Canyon Ref'!A:A,'Canyon Ref'!B:B,"")</f>
        <v>1</v>
      </c>
      <c r="G29" s="68">
        <f t="shared" si="1"/>
        <v>131.25</v>
      </c>
      <c r="H29" s="35">
        <f t="shared" si="7"/>
        <v>160.5</v>
      </c>
      <c r="I29" s="67">
        <f t="shared" si="6"/>
        <v>0.54268808114961964</v>
      </c>
    </row>
    <row r="30" spans="1:9" ht="15.75" thickBot="1">
      <c r="A30" s="270" t="s">
        <v>260</v>
      </c>
      <c r="B30" s="270" t="s">
        <v>261</v>
      </c>
      <c r="C30" s="163">
        <v>3362.45</v>
      </c>
      <c r="D30" s="163">
        <v>3695</v>
      </c>
      <c r="E30" s="145">
        <f t="shared" si="5"/>
        <v>332.55000000000018</v>
      </c>
      <c r="F30" s="129">
        <f>_xlfn.XLOOKUP(A30,'Canyon Ref'!A:A,'Canyon Ref'!B:B,"")</f>
        <v>0.8</v>
      </c>
      <c r="G30" s="68">
        <f t="shared" si="1"/>
        <v>105</v>
      </c>
      <c r="H30" s="35">
        <f t="shared" si="7"/>
        <v>437.55000000000018</v>
      </c>
      <c r="I30" s="67">
        <f t="shared" si="6"/>
        <v>0.13012832904578514</v>
      </c>
    </row>
    <row r="31" spans="1:9" ht="15.75" thickBot="1">
      <c r="A31" s="270" t="s">
        <v>115</v>
      </c>
      <c r="B31" s="270" t="s">
        <v>262</v>
      </c>
      <c r="C31" s="163">
        <v>2452.4499999999998</v>
      </c>
      <c r="D31" s="163">
        <v>2695</v>
      </c>
      <c r="E31" s="145">
        <f t="shared" si="5"/>
        <v>242.55000000000018</v>
      </c>
      <c r="F31" s="129">
        <f>_xlfn.XLOOKUP(A31,'Canyon Ref'!A:A,'Canyon Ref'!B:B,"")</f>
        <v>0.8</v>
      </c>
      <c r="G31" s="68">
        <f t="shared" si="1"/>
        <v>105</v>
      </c>
      <c r="H31" s="35">
        <f t="shared" si="7"/>
        <v>347.55000000000018</v>
      </c>
      <c r="I31" s="67">
        <f t="shared" si="6"/>
        <v>0.14171542742971324</v>
      </c>
    </row>
    <row r="32" spans="1:9" ht="15.75" thickBot="1">
      <c r="A32" s="270" t="s">
        <v>81</v>
      </c>
      <c r="B32" s="270" t="s">
        <v>211</v>
      </c>
      <c r="C32" s="163">
        <v>432.25</v>
      </c>
      <c r="D32" s="163">
        <v>475</v>
      </c>
      <c r="E32" s="145">
        <f t="shared" si="5"/>
        <v>42.75</v>
      </c>
      <c r="F32" s="129">
        <f>_xlfn.XLOOKUP(A32,'Canyon Ref'!A:A,'Canyon Ref'!B:B,"")</f>
        <v>0.4</v>
      </c>
      <c r="G32" s="68">
        <f t="shared" si="1"/>
        <v>52.5</v>
      </c>
      <c r="H32" s="35">
        <f t="shared" si="7"/>
        <v>95.25</v>
      </c>
      <c r="I32" s="67">
        <f t="shared" si="6"/>
        <v>0.2203585887796414</v>
      </c>
    </row>
    <row r="33" spans="1:9" ht="15.75" thickBot="1">
      <c r="A33" s="270" t="s">
        <v>222</v>
      </c>
      <c r="B33" s="270" t="s">
        <v>263</v>
      </c>
      <c r="C33" s="163">
        <v>841.75</v>
      </c>
      <c r="D33" s="163">
        <v>925</v>
      </c>
      <c r="E33" s="145">
        <f t="shared" si="5"/>
        <v>83.25</v>
      </c>
      <c r="F33" s="129">
        <f>_xlfn.XLOOKUP(A33,'Canyon Ref'!A:A,'Canyon Ref'!B:B,"")</f>
        <v>1.5</v>
      </c>
      <c r="G33" s="68">
        <f t="shared" si="1"/>
        <v>196.875</v>
      </c>
      <c r="H33" s="35">
        <f t="shared" si="7"/>
        <v>280.125</v>
      </c>
      <c r="I33" s="67">
        <f t="shared" si="6"/>
        <v>0.33278883278883281</v>
      </c>
    </row>
    <row r="34" spans="1:9" ht="15.75" thickBot="1">
      <c r="A34" s="270" t="s">
        <v>94</v>
      </c>
      <c r="B34" s="270" t="s">
        <v>264</v>
      </c>
      <c r="C34" s="163">
        <v>4181.45</v>
      </c>
      <c r="D34" s="163">
        <v>4595</v>
      </c>
      <c r="E34" s="145">
        <f t="shared" si="5"/>
        <v>413.55000000000018</v>
      </c>
      <c r="F34" s="129">
        <f>_xlfn.XLOOKUP(A34,'Canyon Ref'!A:A,'Canyon Ref'!B:B,"")</f>
        <v>0.8</v>
      </c>
      <c r="G34" s="68">
        <f t="shared" si="1"/>
        <v>105</v>
      </c>
      <c r="H34" s="35">
        <f t="shared" si="7"/>
        <v>518.55000000000018</v>
      </c>
      <c r="I34" s="67">
        <f t="shared" si="6"/>
        <v>0.12401200540482374</v>
      </c>
    </row>
    <row r="35" spans="1:9" ht="15.75" thickBot="1">
      <c r="A35" s="270" t="s">
        <v>136</v>
      </c>
      <c r="B35" s="270" t="s">
        <v>265</v>
      </c>
      <c r="C35" s="163">
        <v>45.5</v>
      </c>
      <c r="D35" s="163">
        <v>50</v>
      </c>
      <c r="E35" s="145">
        <f t="shared" si="5"/>
        <v>4.5</v>
      </c>
      <c r="F35" s="129">
        <f>_xlfn.XLOOKUP(A35,'Canyon Ref'!A:A,'Canyon Ref'!B:B,"")</f>
        <v>0.2</v>
      </c>
      <c r="G35" s="68">
        <f t="shared" ref="G35:G45" si="8">(F35*Labor)*SvcGross</f>
        <v>26.25</v>
      </c>
      <c r="H35" s="35">
        <f t="shared" si="7"/>
        <v>30.75</v>
      </c>
      <c r="I35" s="67">
        <f t="shared" si="6"/>
        <v>0.67582417582417587</v>
      </c>
    </row>
    <row r="36" spans="1:9" ht="15.75" thickBot="1">
      <c r="A36" s="270" t="s">
        <v>60</v>
      </c>
      <c r="B36" s="270" t="s">
        <v>266</v>
      </c>
      <c r="C36" s="163">
        <v>218.4</v>
      </c>
      <c r="D36" s="163">
        <v>240</v>
      </c>
      <c r="E36" s="145">
        <f t="shared" si="5"/>
        <v>21.599999999999994</v>
      </c>
      <c r="F36" s="129">
        <f>_xlfn.XLOOKUP(A36,'Canyon Ref'!A:A,'Canyon Ref'!B:B,"")</f>
        <v>0.2</v>
      </c>
      <c r="G36" s="68">
        <f t="shared" si="8"/>
        <v>26.25</v>
      </c>
      <c r="H36" s="35">
        <f t="shared" si="7"/>
        <v>47.849999999999994</v>
      </c>
      <c r="I36" s="67">
        <f t="shared" si="6"/>
        <v>0.21909340659340656</v>
      </c>
    </row>
    <row r="37" spans="1:9" ht="15.75" thickBot="1">
      <c r="A37" s="270" t="s">
        <v>200</v>
      </c>
      <c r="B37" s="270" t="s">
        <v>213</v>
      </c>
      <c r="C37" s="163">
        <v>650.65</v>
      </c>
      <c r="D37" s="163">
        <v>715</v>
      </c>
      <c r="E37" s="145">
        <f t="shared" si="5"/>
        <v>64.350000000000023</v>
      </c>
      <c r="F37" s="129">
        <f>_xlfn.XLOOKUP(A37,'Canyon Ref'!A:A,'Canyon Ref'!B:B,"")</f>
        <v>1.5</v>
      </c>
      <c r="G37" s="68">
        <f t="shared" si="8"/>
        <v>196.875</v>
      </c>
      <c r="H37" s="35">
        <f t="shared" si="7"/>
        <v>261.22500000000002</v>
      </c>
      <c r="I37" s="67">
        <f t="shared" si="6"/>
        <v>0.4014831322523631</v>
      </c>
    </row>
    <row r="38" spans="1:9" ht="15.75" thickBot="1">
      <c r="A38" s="270" t="s">
        <v>137</v>
      </c>
      <c r="B38" s="270" t="s">
        <v>214</v>
      </c>
      <c r="C38" s="163">
        <v>204.75</v>
      </c>
      <c r="D38" s="163">
        <v>225</v>
      </c>
      <c r="E38" s="145">
        <f t="shared" si="5"/>
        <v>20.25</v>
      </c>
      <c r="F38" s="129">
        <f>_xlfn.XLOOKUP(A38,'Canyon Ref'!A:A,'Canyon Ref'!B:B,"")</f>
        <v>0.1</v>
      </c>
      <c r="G38" s="68">
        <f t="shared" si="8"/>
        <v>13.125</v>
      </c>
      <c r="H38" s="35">
        <f t="shared" si="7"/>
        <v>33.375</v>
      </c>
      <c r="I38" s="67">
        <f t="shared" si="6"/>
        <v>0.16300366300366301</v>
      </c>
    </row>
    <row r="39" spans="1:9" ht="15.75" thickBot="1">
      <c r="A39" s="270" t="s">
        <v>39</v>
      </c>
      <c r="B39" s="270" t="s">
        <v>267</v>
      </c>
      <c r="C39" s="163">
        <v>1178.45</v>
      </c>
      <c r="D39" s="163">
        <v>1295</v>
      </c>
      <c r="E39" s="145">
        <f t="shared" si="5"/>
        <v>116.54999999999995</v>
      </c>
      <c r="F39" s="129">
        <f>_xlfn.XLOOKUP(A39,'Canyon Ref'!A:A,'Canyon Ref'!B:B,"")</f>
        <v>0.6</v>
      </c>
      <c r="G39" s="68">
        <f t="shared" si="8"/>
        <v>78.75</v>
      </c>
      <c r="H39" s="35">
        <f t="shared" si="7"/>
        <v>195.29999999999995</v>
      </c>
      <c r="I39" s="67">
        <f t="shared" si="6"/>
        <v>0.16572616572616569</v>
      </c>
    </row>
    <row r="40" spans="1:9" ht="15.75" thickBot="1">
      <c r="A40" s="270" t="s">
        <v>40</v>
      </c>
      <c r="B40" s="270" t="s">
        <v>114</v>
      </c>
      <c r="C40" s="163">
        <v>523.25</v>
      </c>
      <c r="D40" s="163">
        <v>575</v>
      </c>
      <c r="E40" s="145">
        <f t="shared" si="5"/>
        <v>51.75</v>
      </c>
      <c r="F40" s="129">
        <f>_xlfn.XLOOKUP(A40,'Canyon Ref'!A:A,'Canyon Ref'!B:B,"")</f>
        <v>0.4</v>
      </c>
      <c r="G40" s="68">
        <f t="shared" si="8"/>
        <v>52.5</v>
      </c>
      <c r="H40" s="35">
        <f t="shared" si="7"/>
        <v>104.25</v>
      </c>
      <c r="I40" s="67">
        <f t="shared" si="6"/>
        <v>0.19923554706163402</v>
      </c>
    </row>
    <row r="41" spans="1:9" ht="15.75" thickBot="1">
      <c r="A41" s="270" t="s">
        <v>41</v>
      </c>
      <c r="B41" s="270" t="s">
        <v>118</v>
      </c>
      <c r="C41" s="163">
        <v>500.5</v>
      </c>
      <c r="D41" s="163">
        <v>550</v>
      </c>
      <c r="E41" s="145">
        <f t="shared" si="5"/>
        <v>49.5</v>
      </c>
      <c r="F41" s="129">
        <f>_xlfn.XLOOKUP(A41,'Canyon Ref'!A:A,'Canyon Ref'!B:B,"")</f>
        <v>0.4</v>
      </c>
      <c r="G41" s="68">
        <f t="shared" si="8"/>
        <v>52.5</v>
      </c>
      <c r="H41" s="35">
        <f t="shared" si="7"/>
        <v>102</v>
      </c>
      <c r="I41" s="67">
        <f t="shared" si="6"/>
        <v>0.20379620379620381</v>
      </c>
    </row>
    <row r="42" spans="1:9" ht="15.75" thickBot="1">
      <c r="A42" s="270" t="s">
        <v>42</v>
      </c>
      <c r="B42" s="270" t="s">
        <v>138</v>
      </c>
      <c r="C42" s="163">
        <v>159.25</v>
      </c>
      <c r="D42" s="163">
        <v>175</v>
      </c>
      <c r="E42" s="145">
        <f t="shared" si="5"/>
        <v>15.75</v>
      </c>
      <c r="F42" s="129">
        <f>_xlfn.XLOOKUP(A42,'Canyon Ref'!A:A,'Canyon Ref'!B:B,"")</f>
        <v>0.2</v>
      </c>
      <c r="G42" s="68">
        <f t="shared" si="8"/>
        <v>26.25</v>
      </c>
      <c r="H42" s="35">
        <f t="shared" si="7"/>
        <v>42</v>
      </c>
      <c r="I42" s="67">
        <f t="shared" si="6"/>
        <v>0.26373626373626374</v>
      </c>
    </row>
    <row r="43" spans="1:9" ht="15.75" thickBot="1">
      <c r="A43" s="270" t="s">
        <v>139</v>
      </c>
      <c r="B43" s="270" t="s">
        <v>140</v>
      </c>
      <c r="C43" s="163">
        <v>113.75</v>
      </c>
      <c r="D43" s="163">
        <v>125</v>
      </c>
      <c r="E43" s="145">
        <f t="shared" si="5"/>
        <v>11.25</v>
      </c>
      <c r="F43" s="129">
        <f>_xlfn.XLOOKUP(A43,'Canyon Ref'!A:A,'Canyon Ref'!B:B,"")</f>
        <v>0.1</v>
      </c>
      <c r="G43" s="68">
        <f t="shared" si="8"/>
        <v>13.125</v>
      </c>
      <c r="H43" s="35">
        <f t="shared" si="7"/>
        <v>24.375</v>
      </c>
      <c r="I43" s="67">
        <f t="shared" si="6"/>
        <v>0.21428571428571427</v>
      </c>
    </row>
    <row r="44" spans="1:9" ht="15.75" thickBot="1">
      <c r="A44" s="270" t="s">
        <v>48</v>
      </c>
      <c r="B44" s="270" t="s">
        <v>268</v>
      </c>
      <c r="C44" s="163">
        <v>227.5</v>
      </c>
      <c r="D44" s="163">
        <v>250</v>
      </c>
      <c r="E44" s="145">
        <f t="shared" si="5"/>
        <v>22.5</v>
      </c>
      <c r="F44" s="129">
        <f>_xlfn.XLOOKUP(A44,'Canyon Ref'!A:A,'Canyon Ref'!B:B,"")</f>
        <v>0.2</v>
      </c>
      <c r="G44" s="68">
        <f t="shared" si="8"/>
        <v>26.25</v>
      </c>
      <c r="H44" s="35">
        <f t="shared" si="7"/>
        <v>48.75</v>
      </c>
      <c r="I44" s="67">
        <f t="shared" si="6"/>
        <v>0.21428571428571427</v>
      </c>
    </row>
    <row r="45" spans="1:9">
      <c r="A45" s="270" t="s">
        <v>215</v>
      </c>
      <c r="B45" s="270" t="s">
        <v>216</v>
      </c>
      <c r="C45" s="163">
        <v>432.25</v>
      </c>
      <c r="D45" s="163">
        <v>475</v>
      </c>
      <c r="E45" s="145">
        <f t="shared" si="5"/>
        <v>42.75</v>
      </c>
      <c r="F45" s="129">
        <f>_xlfn.XLOOKUP(A45,'Canyon Ref'!A:A,'Canyon Ref'!B:B,"")</f>
        <v>1.8</v>
      </c>
      <c r="G45" s="68">
        <f t="shared" si="8"/>
        <v>236.25</v>
      </c>
      <c r="H45" s="35">
        <f t="shared" si="7"/>
        <v>279</v>
      </c>
      <c r="I45" s="67">
        <f t="shared" si="6"/>
        <v>0.64545980335454023</v>
      </c>
    </row>
    <row r="60" spans="22:22">
      <c r="V60" s="284"/>
    </row>
  </sheetData>
  <autoFilter ref="A4:I4" xr:uid="{00000000-0001-0000-0A00-000000000000}"/>
  <sortState xmlns:xlrd2="http://schemas.microsoft.com/office/spreadsheetml/2017/richdata2" ref="A10:I16">
    <sortCondition descending="1" ref="I10:I16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9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2A335-661B-4225-977F-14BF13DE3020}">
  <sheetPr codeName="Sheet16">
    <tabColor theme="4" tint="-0.249977111117893"/>
  </sheetPr>
  <dimension ref="A1:V60"/>
  <sheetViews>
    <sheetView topLeftCell="A37" workbookViewId="0">
      <selection activeCell="O91" sqref="O91"/>
    </sheetView>
  </sheetViews>
  <sheetFormatPr defaultRowHeight="15"/>
  <sheetData>
    <row r="1" spans="1:12">
      <c r="A1" t="s">
        <v>100</v>
      </c>
      <c r="B1">
        <v>0.1</v>
      </c>
    </row>
    <row r="2" spans="1:12">
      <c r="A2" t="s">
        <v>103</v>
      </c>
      <c r="B2">
        <v>1</v>
      </c>
    </row>
    <row r="3" spans="1:12">
      <c r="A3" t="s">
        <v>157</v>
      </c>
      <c r="B3">
        <v>0.1</v>
      </c>
    </row>
    <row r="4" spans="1:12">
      <c r="A4" t="s">
        <v>127</v>
      </c>
      <c r="B4">
        <v>0.7</v>
      </c>
    </row>
    <row r="5" spans="1:12">
      <c r="A5" t="s">
        <v>218</v>
      </c>
      <c r="B5">
        <v>0.8</v>
      </c>
    </row>
    <row r="6" spans="1:12">
      <c r="A6" t="s">
        <v>132</v>
      </c>
      <c r="B6">
        <v>0.8</v>
      </c>
    </row>
    <row r="7" spans="1:12">
      <c r="A7" t="s">
        <v>158</v>
      </c>
      <c r="B7">
        <v>0.2</v>
      </c>
    </row>
    <row r="8" spans="1:12">
      <c r="A8" t="s">
        <v>46</v>
      </c>
      <c r="B8">
        <v>1.1000000000000001</v>
      </c>
    </row>
    <row r="9" spans="1:12">
      <c r="A9" t="s">
        <v>134</v>
      </c>
      <c r="B9">
        <v>0.2</v>
      </c>
      <c r="K9" s="65"/>
      <c r="L9" s="65"/>
    </row>
    <row r="10" spans="1:12">
      <c r="A10" t="s">
        <v>128</v>
      </c>
      <c r="B10">
        <v>0.5</v>
      </c>
      <c r="K10" s="64"/>
      <c r="L10" s="64"/>
    </row>
    <row r="11" spans="1:12">
      <c r="A11" t="s">
        <v>136</v>
      </c>
      <c r="B11">
        <v>0.2</v>
      </c>
      <c r="K11" s="64"/>
      <c r="L11" s="64"/>
    </row>
    <row r="12" spans="1:12">
      <c r="A12" t="s">
        <v>137</v>
      </c>
      <c r="B12">
        <v>0.1</v>
      </c>
      <c r="K12" s="64"/>
      <c r="L12" s="64"/>
    </row>
    <row r="13" spans="1:12">
      <c r="A13" t="s">
        <v>39</v>
      </c>
      <c r="B13">
        <v>0.6</v>
      </c>
      <c r="K13" s="64"/>
      <c r="L13" s="64"/>
    </row>
    <row r="14" spans="1:12">
      <c r="A14" t="s">
        <v>40</v>
      </c>
      <c r="B14">
        <v>0.4</v>
      </c>
      <c r="K14" s="64"/>
      <c r="L14" s="64"/>
    </row>
    <row r="15" spans="1:12">
      <c r="A15" t="s">
        <v>71</v>
      </c>
      <c r="B15">
        <v>0.6</v>
      </c>
      <c r="K15" s="64"/>
      <c r="L15" s="64"/>
    </row>
    <row r="16" spans="1:12">
      <c r="A16" t="s">
        <v>111</v>
      </c>
      <c r="B16">
        <v>1</v>
      </c>
      <c r="K16" s="64"/>
      <c r="L16" s="64"/>
    </row>
    <row r="17" spans="1:2">
      <c r="A17" t="s">
        <v>40</v>
      </c>
      <c r="B17">
        <v>1.5</v>
      </c>
    </row>
    <row r="18" spans="1:2">
      <c r="A18" t="s">
        <v>215</v>
      </c>
      <c r="B18">
        <v>1.8</v>
      </c>
    </row>
    <row r="19" spans="1:2">
      <c r="A19" t="s">
        <v>17</v>
      </c>
      <c r="B19">
        <v>0.6</v>
      </c>
    </row>
    <row r="20" spans="1:2">
      <c r="A20" t="s">
        <v>104</v>
      </c>
      <c r="B20">
        <v>1</v>
      </c>
    </row>
    <row r="21" spans="1:2">
      <c r="A21" t="s">
        <v>219</v>
      </c>
      <c r="B21">
        <v>1</v>
      </c>
    </row>
    <row r="22" spans="1:2">
      <c r="A22" t="s">
        <v>220</v>
      </c>
      <c r="B22">
        <v>2</v>
      </c>
    </row>
    <row r="23" spans="1:2">
      <c r="A23" t="s">
        <v>50</v>
      </c>
      <c r="B23">
        <v>0.5</v>
      </c>
    </row>
    <row r="24" spans="1:2">
      <c r="A24" t="s">
        <v>12</v>
      </c>
      <c r="B24">
        <v>1</v>
      </c>
    </row>
    <row r="25" spans="1:2">
      <c r="A25" t="s">
        <v>41</v>
      </c>
      <c r="B25">
        <v>0.4</v>
      </c>
    </row>
    <row r="26" spans="1:2">
      <c r="A26" t="s">
        <v>221</v>
      </c>
      <c r="B26">
        <v>4.5</v>
      </c>
    </row>
    <row r="27" spans="1:2">
      <c r="A27" t="s">
        <v>117</v>
      </c>
      <c r="B27">
        <v>0.5</v>
      </c>
    </row>
    <row r="28" spans="1:2">
      <c r="A28" t="s">
        <v>47</v>
      </c>
      <c r="B28">
        <v>0.1</v>
      </c>
    </row>
    <row r="29" spans="1:2">
      <c r="A29" t="s">
        <v>36</v>
      </c>
      <c r="B29">
        <v>0.2</v>
      </c>
    </row>
    <row r="30" spans="1:2">
      <c r="A30" t="s">
        <v>60</v>
      </c>
      <c r="B30">
        <v>0.2</v>
      </c>
    </row>
    <row r="31" spans="1:2">
      <c r="A31" t="s">
        <v>139</v>
      </c>
      <c r="B31">
        <v>0.1</v>
      </c>
    </row>
    <row r="32" spans="1:2">
      <c r="A32" t="s">
        <v>129</v>
      </c>
      <c r="B32">
        <v>4</v>
      </c>
    </row>
    <row r="33" spans="1:7">
      <c r="A33" t="s">
        <v>131</v>
      </c>
      <c r="B33">
        <v>2</v>
      </c>
    </row>
    <row r="34" spans="1:7">
      <c r="A34" t="s">
        <v>110</v>
      </c>
      <c r="B34">
        <v>1</v>
      </c>
    </row>
    <row r="35" spans="1:7">
      <c r="A35" t="s">
        <v>409</v>
      </c>
      <c r="B35">
        <v>0.3</v>
      </c>
    </row>
    <row r="36" spans="1:7">
      <c r="A36" t="s">
        <v>257</v>
      </c>
      <c r="B36">
        <v>1</v>
      </c>
    </row>
    <row r="37" spans="1:7">
      <c r="A37" t="s">
        <v>98</v>
      </c>
      <c r="B37">
        <v>0.5</v>
      </c>
    </row>
    <row r="38" spans="1:7">
      <c r="A38" t="s">
        <v>99</v>
      </c>
      <c r="B38">
        <v>0.4</v>
      </c>
    </row>
    <row r="39" spans="1:7">
      <c r="A39" t="s">
        <v>116</v>
      </c>
      <c r="B39">
        <v>4.2</v>
      </c>
    </row>
    <row r="40" spans="1:7">
      <c r="A40" t="s">
        <v>42</v>
      </c>
      <c r="B40">
        <v>0.2</v>
      </c>
    </row>
    <row r="41" spans="1:7">
      <c r="A41" t="s">
        <v>48</v>
      </c>
      <c r="B41">
        <v>0.2</v>
      </c>
    </row>
    <row r="42" spans="1:7">
      <c r="A42" t="s">
        <v>222</v>
      </c>
      <c r="B42">
        <v>1.5</v>
      </c>
    </row>
    <row r="43" spans="1:7">
      <c r="A43" t="s">
        <v>260</v>
      </c>
      <c r="B43">
        <v>0.8</v>
      </c>
      <c r="F43" s="215"/>
      <c r="G43" s="215"/>
    </row>
    <row r="44" spans="1:7">
      <c r="A44" t="s">
        <v>115</v>
      </c>
      <c r="B44">
        <v>0.8</v>
      </c>
      <c r="F44" s="215"/>
      <c r="G44" s="215"/>
    </row>
    <row r="45" spans="1:7">
      <c r="A45" t="s">
        <v>94</v>
      </c>
      <c r="B45">
        <v>0.8</v>
      </c>
      <c r="F45" s="215"/>
      <c r="G45" s="215"/>
    </row>
    <row r="46" spans="1:7">
      <c r="A46" t="s">
        <v>133</v>
      </c>
      <c r="B46">
        <v>0.3</v>
      </c>
      <c r="F46" s="215"/>
      <c r="G46" s="215"/>
    </row>
    <row r="47" spans="1:7">
      <c r="A47" t="s">
        <v>15</v>
      </c>
      <c r="B47">
        <v>0.1</v>
      </c>
      <c r="F47" s="215"/>
      <c r="G47" s="215"/>
    </row>
    <row r="48" spans="1:7">
      <c r="A48" t="s">
        <v>81</v>
      </c>
      <c r="B48">
        <v>0.4</v>
      </c>
      <c r="F48" s="215"/>
      <c r="G48" s="215"/>
    </row>
    <row r="49" spans="1:22">
      <c r="A49" t="s">
        <v>200</v>
      </c>
      <c r="B49">
        <v>1.5</v>
      </c>
      <c r="F49" s="215"/>
      <c r="G49" s="215"/>
    </row>
    <row r="50" spans="1:22">
      <c r="A50" t="s">
        <v>149</v>
      </c>
      <c r="B50">
        <f ca="1">+OFFSET(SBY,0,1)+OFFSET(S3X,0,1)</f>
        <v>3.1</v>
      </c>
      <c r="F50" s="215"/>
      <c r="G50" s="215"/>
    </row>
    <row r="51" spans="1:22">
      <c r="A51" t="s">
        <v>150</v>
      </c>
      <c r="B51">
        <f ca="1">+OFFSET(RZU,0,1)</f>
        <v>1</v>
      </c>
    </row>
    <row r="52" spans="1:22">
      <c r="A52" t="s">
        <v>73</v>
      </c>
      <c r="B52" cm="1">
        <f t="array" aca="1" ref="B52" ca="1">+OFFSET(S1H,0,1)+OFFSET(_VW1,0,1)</f>
        <v>5.5</v>
      </c>
    </row>
    <row r="53" spans="1:22">
      <c r="A53" t="s">
        <v>109</v>
      </c>
      <c r="B53">
        <f ca="1">+OFFSET(SIQ,0,1)+OFFSET(SIR,0,1)</f>
        <v>0.9</v>
      </c>
    </row>
    <row r="54" spans="1:22">
      <c r="A54" t="s">
        <v>122</v>
      </c>
      <c r="B54">
        <f ca="1">+OFFSET(RIA,0,1)+OFFSET(RIK,0,1)+OFFSET(SNX,0,1)+OFFSET(VQO,0,1)+OFFSET(SFZ,0,1)+OFFSET(VTA,0,1)</f>
        <v>3.2</v>
      </c>
    </row>
    <row r="55" spans="1:22">
      <c r="A55" t="s">
        <v>34</v>
      </c>
      <c r="B55">
        <f ca="1">+OFFSET(SQI,0,1)+OFFSET(VZT,0,1)</f>
        <v>4.7</v>
      </c>
    </row>
    <row r="56" spans="1:22">
      <c r="A56" t="s">
        <v>126</v>
      </c>
      <c r="B56">
        <f ca="1">+OFFSET(RVY,0,1)+OFFSET(SJS,0,1)+OFFSET(S4K,0,1)+OFFSET(_5WI,0,1)</f>
        <v>1.5</v>
      </c>
    </row>
    <row r="57" spans="1:22">
      <c r="A57" t="s">
        <v>254</v>
      </c>
      <c r="B57">
        <f ca="1">OFFSET(SFZ,0,1)+OFFSET(RIK,0,1)</f>
        <v>1.6</v>
      </c>
    </row>
    <row r="60" spans="1:22">
      <c r="V60" s="284"/>
    </row>
  </sheetData>
  <sortState xmlns:xlrd2="http://schemas.microsoft.com/office/spreadsheetml/2017/richdata2" ref="A1:B60">
    <sortCondition ref="A1:A60"/>
  </sortState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ColWidth="8.85546875" defaultRowHeight="15"/>
  <cols>
    <col min="1" max="1" width="8.7109375" style="6" customWidth="1"/>
    <col min="2" max="2" width="48.28515625" style="11" bestFit="1" customWidth="1"/>
    <col min="3" max="4" width="12.7109375" style="4" customWidth="1"/>
    <col min="5" max="5" width="12.7109375" style="5" customWidth="1"/>
    <col min="6" max="6" width="12.7109375" style="10" customWidth="1"/>
    <col min="7" max="7" width="12.7109375" style="4" customWidth="1"/>
    <col min="8" max="8" width="12.7109375" style="6" customWidth="1"/>
    <col min="9" max="9" width="12.7109375" style="7" customWidth="1"/>
    <col min="10" max="10" width="53" style="5" customWidth="1"/>
    <col min="11" max="11" width="21.42578125" style="5" bestFit="1" customWidth="1"/>
    <col min="12" max="16384" width="8.85546875" style="5"/>
  </cols>
  <sheetData>
    <row r="1" spans="1:9" ht="24" thickBot="1">
      <c r="A1" s="322" t="s">
        <v>457</v>
      </c>
      <c r="B1" s="323"/>
      <c r="C1" s="323"/>
      <c r="D1" s="323"/>
      <c r="E1" s="323"/>
      <c r="F1" s="323"/>
      <c r="G1" s="323"/>
      <c r="H1" s="323"/>
      <c r="I1" s="324"/>
    </row>
    <row r="2" spans="1:9" ht="12" customHeight="1" thickBot="1">
      <c r="A2" s="27"/>
      <c r="B2" s="27"/>
      <c r="C2" s="22"/>
      <c r="D2" s="22"/>
      <c r="E2" s="22"/>
      <c r="F2" s="22"/>
      <c r="G2" s="22"/>
      <c r="H2" s="22"/>
      <c r="I2" s="23"/>
    </row>
    <row r="3" spans="1:9" ht="24" thickBot="1">
      <c r="A3" s="22"/>
      <c r="B3" s="28"/>
      <c r="C3" s="329" t="s">
        <v>170</v>
      </c>
      <c r="D3" s="330"/>
      <c r="E3" s="331"/>
      <c r="F3" s="329" t="s">
        <v>171</v>
      </c>
      <c r="G3" s="331"/>
      <c r="H3" s="329" t="s">
        <v>172</v>
      </c>
      <c r="I3" s="331"/>
    </row>
    <row r="4" spans="1:9" ht="45.75" customHeight="1" thickBot="1">
      <c r="A4" s="33" t="s">
        <v>0</v>
      </c>
      <c r="B4" s="31" t="s">
        <v>1</v>
      </c>
      <c r="C4" s="71" t="s">
        <v>3</v>
      </c>
      <c r="D4" s="72" t="s">
        <v>4</v>
      </c>
      <c r="E4" s="37" t="s">
        <v>6</v>
      </c>
      <c r="F4" s="152" t="s">
        <v>2</v>
      </c>
      <c r="G4" s="38" t="s">
        <v>5</v>
      </c>
      <c r="H4" s="39" t="s">
        <v>7</v>
      </c>
      <c r="I4" s="26" t="s">
        <v>8</v>
      </c>
    </row>
    <row r="5" spans="1:9" ht="15.75" thickBot="1">
      <c r="A5" s="172" t="s">
        <v>150</v>
      </c>
      <c r="B5" s="271" t="s">
        <v>444</v>
      </c>
      <c r="C5" s="70">
        <v>1360.45</v>
      </c>
      <c r="D5" s="70">
        <v>1495</v>
      </c>
      <c r="E5" s="145">
        <f t="shared" ref="E5:E8" si="0">D5-C5</f>
        <v>134.54999999999995</v>
      </c>
      <c r="F5" s="153">
        <f ca="1">_xlfn.XLOOKUP(A5,'Acadia Ref'!A:A,'Acadia Ref'!B:B,"")</f>
        <v>4.2</v>
      </c>
      <c r="G5" s="68">
        <f t="shared" ref="G5:G32" ca="1" si="1">(F5*Labor)*SvcGross</f>
        <v>551.25</v>
      </c>
      <c r="H5" s="36">
        <f t="shared" ref="H5:H9" ca="1" si="2">E5+G5</f>
        <v>685.8</v>
      </c>
      <c r="I5" s="67">
        <f t="shared" ref="I5:I7" ca="1" si="3">H5/C5</f>
        <v>0.50409790878018301</v>
      </c>
    </row>
    <row r="6" spans="1:9" ht="15.75" thickBot="1">
      <c r="A6" s="172" t="s">
        <v>69</v>
      </c>
      <c r="B6" s="271" t="s">
        <v>443</v>
      </c>
      <c r="C6" s="70">
        <v>3180.45</v>
      </c>
      <c r="D6" s="70">
        <v>3495</v>
      </c>
      <c r="E6" s="145">
        <f t="shared" si="0"/>
        <v>314.55000000000018</v>
      </c>
      <c r="F6" s="153">
        <f ca="1">_xlfn.XLOOKUP(A6,'Acadia Ref'!A:A,'Acadia Ref'!B:B,"")</f>
        <v>2.4</v>
      </c>
      <c r="G6" s="68">
        <f t="shared" ca="1" si="1"/>
        <v>315</v>
      </c>
      <c r="H6" s="36">
        <f t="shared" ca="1" si="2"/>
        <v>629.55000000000018</v>
      </c>
      <c r="I6" s="67">
        <f t="shared" ca="1" si="3"/>
        <v>0.19794368721407354</v>
      </c>
    </row>
    <row r="7" spans="1:9" ht="15.75" thickBot="1">
      <c r="A7" s="172" t="s">
        <v>56</v>
      </c>
      <c r="B7" s="271" t="s">
        <v>442</v>
      </c>
      <c r="C7" s="70">
        <v>841.75</v>
      </c>
      <c r="D7" s="70">
        <v>925</v>
      </c>
      <c r="E7" s="145">
        <f t="shared" si="0"/>
        <v>83.25</v>
      </c>
      <c r="F7" s="153">
        <f ca="1">_xlfn.XLOOKUP(A7,'Acadia Ref'!A:A,'Acadia Ref'!B:B,"")</f>
        <v>1.4</v>
      </c>
      <c r="G7" s="68">
        <f t="shared" ca="1" si="1"/>
        <v>183.74999999999997</v>
      </c>
      <c r="H7" s="36">
        <f t="shared" ca="1" si="2"/>
        <v>267</v>
      </c>
      <c r="I7" s="67">
        <f t="shared" ca="1" si="3"/>
        <v>0.31719631719631719</v>
      </c>
    </row>
    <row r="8" spans="1:9" ht="15.75" thickBot="1">
      <c r="A8" s="172" t="s">
        <v>78</v>
      </c>
      <c r="B8" s="271" t="s">
        <v>240</v>
      </c>
      <c r="C8" s="70">
        <v>409.5</v>
      </c>
      <c r="D8" s="70">
        <v>450</v>
      </c>
      <c r="E8" s="145">
        <f t="shared" si="0"/>
        <v>40.5</v>
      </c>
      <c r="F8" s="153">
        <f ca="1">_xlfn.XLOOKUP(A8,'Acadia Ref'!A:A,'Acadia Ref'!B:B,"")</f>
        <v>0.4</v>
      </c>
      <c r="G8" s="68">
        <f t="shared" ca="1" si="1"/>
        <v>52.5</v>
      </c>
      <c r="H8" s="34">
        <f t="shared" ca="1" si="2"/>
        <v>93</v>
      </c>
      <c r="I8" s="67">
        <f ca="1">H8/C8</f>
        <v>0.2271062271062271</v>
      </c>
    </row>
    <row r="9" spans="1:9" ht="15.75" thickBot="1">
      <c r="A9" s="172" t="s">
        <v>58</v>
      </c>
      <c r="B9" s="271" t="s">
        <v>441</v>
      </c>
      <c r="C9" s="70">
        <v>386.75</v>
      </c>
      <c r="D9" s="70">
        <v>425</v>
      </c>
      <c r="E9" s="145">
        <f t="shared" ref="E9:E32" si="4">D9-C9</f>
        <v>38.25</v>
      </c>
      <c r="F9" s="153">
        <f ca="1">_xlfn.XLOOKUP(A9,'Acadia Ref'!A:A,'Acadia Ref'!B:B,"")</f>
        <v>0.30000000000000004</v>
      </c>
      <c r="G9" s="68">
        <f t="shared" ca="1" si="1"/>
        <v>39.375000000000007</v>
      </c>
      <c r="H9" s="35">
        <f t="shared" ca="1" si="2"/>
        <v>77.625</v>
      </c>
      <c r="I9" s="67">
        <f t="shared" ref="I9:I32" ca="1" si="5">H9/C9</f>
        <v>0.20071105365223013</v>
      </c>
    </row>
    <row r="10" spans="1:9" ht="15.75" thickBot="1">
      <c r="A10" s="172" t="s">
        <v>57</v>
      </c>
      <c r="B10" s="271" t="s">
        <v>440</v>
      </c>
      <c r="C10" s="70">
        <v>450.45</v>
      </c>
      <c r="D10" s="70">
        <v>495</v>
      </c>
      <c r="E10" s="145">
        <f t="shared" si="4"/>
        <v>44.550000000000011</v>
      </c>
      <c r="F10" s="153">
        <f ca="1">_xlfn.XLOOKUP(A10,'Acadia Ref'!A:A,'Acadia Ref'!B:B,"")</f>
        <v>0.4</v>
      </c>
      <c r="G10" s="68">
        <f t="shared" ca="1" si="1"/>
        <v>52.5</v>
      </c>
      <c r="H10" s="36">
        <f t="shared" ref="H10:H18" ca="1" si="6">E10+G10</f>
        <v>97.050000000000011</v>
      </c>
      <c r="I10" s="67">
        <f t="shared" ca="1" si="5"/>
        <v>0.21545121545121548</v>
      </c>
    </row>
    <row r="11" spans="1:9" ht="15.75" thickBot="1">
      <c r="A11" s="173" t="s">
        <v>59</v>
      </c>
      <c r="B11" s="272" t="s">
        <v>79</v>
      </c>
      <c r="C11" s="61">
        <v>177.45</v>
      </c>
      <c r="D11" s="61">
        <v>195</v>
      </c>
      <c r="E11" s="69">
        <f>D11-C11</f>
        <v>17.550000000000011</v>
      </c>
      <c r="F11" s="153">
        <f>_xlfn.XLOOKUP(A11,'Acadia Ref'!A:A,'Acadia Ref'!B:B,"")</f>
        <v>0.1</v>
      </c>
      <c r="G11" s="68">
        <f>(F11*Labor)*SvcGross</f>
        <v>13.125</v>
      </c>
      <c r="H11" s="36">
        <f>E11+G11</f>
        <v>30.675000000000011</v>
      </c>
      <c r="I11" s="67">
        <f>H11/C11</f>
        <v>0.1728655959425191</v>
      </c>
    </row>
    <row r="12" spans="1:9" ht="15.75" thickBot="1">
      <c r="A12" s="173" t="s">
        <v>173</v>
      </c>
      <c r="B12" s="272" t="s">
        <v>223</v>
      </c>
      <c r="C12" s="61">
        <v>2088.4499999999998</v>
      </c>
      <c r="D12" s="61">
        <v>2295</v>
      </c>
      <c r="E12" s="69">
        <f>D12-C12</f>
        <v>206.55000000000018</v>
      </c>
      <c r="F12" s="153">
        <f>_xlfn.XLOOKUP(A12,'Acadia Ref'!A:A,'Acadia Ref'!B:B,"")</f>
        <v>1</v>
      </c>
      <c r="G12" s="68">
        <f>(F12*Labor)*SvcGross</f>
        <v>131.25</v>
      </c>
      <c r="H12" s="36">
        <f>E12+G12</f>
        <v>337.80000000000018</v>
      </c>
      <c r="I12" s="67">
        <f>H12/C12</f>
        <v>0.16174674998204419</v>
      </c>
    </row>
    <row r="13" spans="1:9" ht="15.75" thickBot="1">
      <c r="A13" s="173" t="s">
        <v>17</v>
      </c>
      <c r="B13" s="272" t="s">
        <v>224</v>
      </c>
      <c r="C13" s="61">
        <v>159.25</v>
      </c>
      <c r="D13" s="61">
        <v>175</v>
      </c>
      <c r="E13" s="69">
        <f t="shared" si="4"/>
        <v>15.75</v>
      </c>
      <c r="F13" s="153">
        <f>_xlfn.XLOOKUP(A13,'Acadia Ref'!A:A,'Acadia Ref'!B:B,"")</f>
        <v>0.1</v>
      </c>
      <c r="G13" s="68">
        <f t="shared" si="1"/>
        <v>13.125</v>
      </c>
      <c r="H13" s="36">
        <f t="shared" si="6"/>
        <v>28.875</v>
      </c>
      <c r="I13" s="67">
        <f t="shared" si="5"/>
        <v>0.18131868131868131</v>
      </c>
    </row>
    <row r="14" spans="1:9" ht="15.75" thickBot="1">
      <c r="A14" s="173" t="s">
        <v>248</v>
      </c>
      <c r="B14" s="272" t="s">
        <v>249</v>
      </c>
      <c r="C14" s="61">
        <v>541.45000000000005</v>
      </c>
      <c r="D14" s="61">
        <v>595</v>
      </c>
      <c r="E14" s="69">
        <f t="shared" si="4"/>
        <v>53.549999999999955</v>
      </c>
      <c r="F14" s="153">
        <f>_xlfn.XLOOKUP(A14,'Acadia Ref'!A:A,'Acadia Ref'!B:B,"")</f>
        <v>1.5</v>
      </c>
      <c r="G14" s="68">
        <f t="shared" si="1"/>
        <v>196.875</v>
      </c>
      <c r="H14" s="36">
        <f t="shared" si="6"/>
        <v>250.42499999999995</v>
      </c>
      <c r="I14" s="67">
        <f t="shared" si="5"/>
        <v>0.46250808015513883</v>
      </c>
    </row>
    <row r="15" spans="1:9" ht="15.75" thickBot="1">
      <c r="A15" s="173" t="s">
        <v>27</v>
      </c>
      <c r="B15" s="272" t="s">
        <v>225</v>
      </c>
      <c r="C15" s="61">
        <v>386.75</v>
      </c>
      <c r="D15" s="61">
        <v>425</v>
      </c>
      <c r="E15" s="69">
        <f t="shared" si="4"/>
        <v>38.25</v>
      </c>
      <c r="F15" s="153">
        <f>_xlfn.XLOOKUP(A15,'Acadia Ref'!A:A,'Acadia Ref'!B:B,"")</f>
        <v>1</v>
      </c>
      <c r="G15" s="68">
        <f t="shared" si="1"/>
        <v>131.25</v>
      </c>
      <c r="H15" s="36">
        <f t="shared" si="6"/>
        <v>169.5</v>
      </c>
      <c r="I15" s="67">
        <f t="shared" si="5"/>
        <v>0.43826761473820297</v>
      </c>
    </row>
    <row r="16" spans="1:9" ht="15.75" thickBot="1">
      <c r="A16" s="173" t="s">
        <v>90</v>
      </c>
      <c r="B16" s="272" t="s">
        <v>154</v>
      </c>
      <c r="C16" s="61">
        <v>386.75</v>
      </c>
      <c r="D16" s="61">
        <v>425</v>
      </c>
      <c r="E16" s="69">
        <f t="shared" si="4"/>
        <v>38.25</v>
      </c>
      <c r="F16" s="153">
        <f>_xlfn.XLOOKUP(A16,'Acadia Ref'!A:A,'Acadia Ref'!B:B,"")</f>
        <v>0.7</v>
      </c>
      <c r="G16" s="68">
        <f t="shared" si="1"/>
        <v>91.874999999999986</v>
      </c>
      <c r="H16" s="36">
        <f t="shared" si="6"/>
        <v>130.125</v>
      </c>
      <c r="I16" s="67">
        <f t="shared" si="5"/>
        <v>0.33645765998707178</v>
      </c>
    </row>
    <row r="17" spans="1:9" ht="15.75" thickBot="1">
      <c r="A17" s="173" t="s">
        <v>121</v>
      </c>
      <c r="B17" s="272" t="s">
        <v>169</v>
      </c>
      <c r="C17" s="61">
        <v>2502.5</v>
      </c>
      <c r="D17" s="61">
        <v>2750</v>
      </c>
      <c r="E17" s="69">
        <f t="shared" si="4"/>
        <v>247.5</v>
      </c>
      <c r="F17" s="153">
        <f>_xlfn.XLOOKUP(A17,'Acadia Ref'!A:A,'Acadia Ref'!B:B,"")</f>
        <v>1</v>
      </c>
      <c r="G17" s="68">
        <f t="shared" si="1"/>
        <v>131.25</v>
      </c>
      <c r="H17" s="36">
        <f t="shared" si="6"/>
        <v>378.75</v>
      </c>
      <c r="I17" s="67">
        <f t="shared" si="5"/>
        <v>0.15134865134865136</v>
      </c>
    </row>
    <row r="18" spans="1:9" ht="15.75" thickBot="1">
      <c r="A18" s="173" t="s">
        <v>146</v>
      </c>
      <c r="B18" s="272" t="s">
        <v>250</v>
      </c>
      <c r="C18" s="61">
        <v>2320.5</v>
      </c>
      <c r="D18" s="61">
        <v>2550</v>
      </c>
      <c r="E18" s="69">
        <f t="shared" si="4"/>
        <v>229.5</v>
      </c>
      <c r="F18" s="153">
        <f>_xlfn.XLOOKUP(A18,'Acadia Ref'!A:A,'Acadia Ref'!B:B,"")</f>
        <v>1</v>
      </c>
      <c r="G18" s="68">
        <f t="shared" si="1"/>
        <v>131.25</v>
      </c>
      <c r="H18" s="36">
        <f t="shared" si="6"/>
        <v>360.75</v>
      </c>
      <c r="I18" s="67">
        <f t="shared" si="5"/>
        <v>0.15546218487394958</v>
      </c>
    </row>
    <row r="19" spans="1:9" ht="15.75" thickBot="1">
      <c r="A19" s="173" t="s">
        <v>112</v>
      </c>
      <c r="B19" s="272" t="s">
        <v>226</v>
      </c>
      <c r="C19" s="61">
        <v>359.45</v>
      </c>
      <c r="D19" s="61">
        <v>395</v>
      </c>
      <c r="E19" s="69">
        <f t="shared" si="4"/>
        <v>35.550000000000011</v>
      </c>
      <c r="F19" s="153">
        <f>_xlfn.XLOOKUP(A19,'Acadia Ref'!A:A,'Acadia Ref'!B:B,"")</f>
        <v>1</v>
      </c>
      <c r="G19" s="68">
        <f t="shared" si="1"/>
        <v>131.25</v>
      </c>
      <c r="H19" s="34">
        <f t="shared" ref="H19:H32" si="7">E19+G19</f>
        <v>166.8</v>
      </c>
      <c r="I19" s="67">
        <f t="shared" si="5"/>
        <v>0.46404228682709697</v>
      </c>
    </row>
    <row r="20" spans="1:9" ht="15.75" thickBot="1">
      <c r="A20" s="173" t="s">
        <v>15</v>
      </c>
      <c r="B20" s="272" t="s">
        <v>16</v>
      </c>
      <c r="C20" s="61">
        <v>113.75</v>
      </c>
      <c r="D20" s="61">
        <v>125</v>
      </c>
      <c r="E20" s="69">
        <f t="shared" si="4"/>
        <v>11.25</v>
      </c>
      <c r="F20" s="153">
        <f>_xlfn.XLOOKUP(A20,'Acadia Ref'!A:A,'Acadia Ref'!B:B,"")</f>
        <v>0.1</v>
      </c>
      <c r="G20" s="68">
        <f t="shared" si="1"/>
        <v>13.125</v>
      </c>
      <c r="H20" s="35">
        <f t="shared" si="7"/>
        <v>24.375</v>
      </c>
      <c r="I20" s="67">
        <f t="shared" si="5"/>
        <v>0.21428571428571427</v>
      </c>
    </row>
    <row r="21" spans="1:9" ht="15.75" thickBot="1">
      <c r="A21" s="173" t="s">
        <v>12</v>
      </c>
      <c r="B21" s="272" t="s">
        <v>251</v>
      </c>
      <c r="C21" s="61">
        <v>273</v>
      </c>
      <c r="D21" s="61">
        <v>300</v>
      </c>
      <c r="E21" s="69">
        <f t="shared" si="4"/>
        <v>27</v>
      </c>
      <c r="F21" s="153">
        <f>_xlfn.XLOOKUP(A21,'Acadia Ref'!A:A,'Acadia Ref'!B:B,"")</f>
        <v>1</v>
      </c>
      <c r="G21" s="68">
        <f t="shared" si="1"/>
        <v>131.25</v>
      </c>
      <c r="H21" s="35">
        <f t="shared" si="7"/>
        <v>158.25</v>
      </c>
      <c r="I21" s="67">
        <f t="shared" si="5"/>
        <v>0.57967032967032972</v>
      </c>
    </row>
    <row r="22" spans="1:9" ht="15.75" thickBot="1">
      <c r="A22" s="173" t="s">
        <v>145</v>
      </c>
      <c r="B22" s="272" t="s">
        <v>227</v>
      </c>
      <c r="C22" s="61">
        <v>136.5</v>
      </c>
      <c r="D22" s="61">
        <v>150</v>
      </c>
      <c r="E22" s="69">
        <f t="shared" si="4"/>
        <v>13.5</v>
      </c>
      <c r="F22" s="153">
        <f>_xlfn.XLOOKUP(A22,'Acadia Ref'!A:A,'Acadia Ref'!B:B,"")</f>
        <v>0.1</v>
      </c>
      <c r="G22" s="68">
        <f t="shared" si="1"/>
        <v>13.125</v>
      </c>
      <c r="H22" s="35">
        <f t="shared" si="7"/>
        <v>26.625</v>
      </c>
      <c r="I22" s="67">
        <f t="shared" si="5"/>
        <v>0.19505494505494506</v>
      </c>
    </row>
    <row r="23" spans="1:9" ht="15.75" thickBot="1">
      <c r="A23" s="173" t="s">
        <v>105</v>
      </c>
      <c r="B23" s="272" t="s">
        <v>106</v>
      </c>
      <c r="C23" s="61">
        <v>341.25</v>
      </c>
      <c r="D23" s="61">
        <v>375</v>
      </c>
      <c r="E23" s="69">
        <f t="shared" si="4"/>
        <v>33.75</v>
      </c>
      <c r="F23" s="153">
        <f>_xlfn.XLOOKUP(A23,'Acadia Ref'!A:A,'Acadia Ref'!B:B,"")</f>
        <v>0.3</v>
      </c>
      <c r="G23" s="68">
        <f t="shared" si="1"/>
        <v>39.375</v>
      </c>
      <c r="H23" s="35">
        <f t="shared" si="7"/>
        <v>73.125</v>
      </c>
      <c r="I23" s="67">
        <f t="shared" si="5"/>
        <v>0.21428571428571427</v>
      </c>
    </row>
    <row r="24" spans="1:9" ht="15.75" thickBot="1">
      <c r="A24" s="173" t="s">
        <v>81</v>
      </c>
      <c r="B24" s="272" t="s">
        <v>211</v>
      </c>
      <c r="C24" s="61">
        <v>450.45</v>
      </c>
      <c r="D24" s="61">
        <v>495</v>
      </c>
      <c r="E24" s="69">
        <f t="shared" si="4"/>
        <v>44.550000000000011</v>
      </c>
      <c r="F24" s="153">
        <f>_xlfn.XLOOKUP(A24,'Acadia Ref'!A:A,'Acadia Ref'!B:B,"")</f>
        <v>0.3</v>
      </c>
      <c r="G24" s="68">
        <f t="shared" si="1"/>
        <v>39.375</v>
      </c>
      <c r="H24" s="35">
        <f t="shared" si="7"/>
        <v>83.925000000000011</v>
      </c>
      <c r="I24" s="67">
        <f t="shared" si="5"/>
        <v>0.18631368631368633</v>
      </c>
    </row>
    <row r="25" spans="1:9" ht="15.75" thickBot="1">
      <c r="A25" s="173" t="s">
        <v>62</v>
      </c>
      <c r="B25" s="272" t="s">
        <v>252</v>
      </c>
      <c r="C25" s="61">
        <v>136.5</v>
      </c>
      <c r="D25" s="61">
        <v>150</v>
      </c>
      <c r="E25" s="69">
        <f t="shared" si="4"/>
        <v>13.5</v>
      </c>
      <c r="F25" s="153">
        <f>_xlfn.XLOOKUP(A25,'Acadia Ref'!A:A,'Acadia Ref'!B:B,"")</f>
        <v>0.1</v>
      </c>
      <c r="G25" s="68">
        <f t="shared" si="1"/>
        <v>13.125</v>
      </c>
      <c r="H25" s="35">
        <f t="shared" si="7"/>
        <v>26.625</v>
      </c>
      <c r="I25" s="67">
        <f t="shared" si="5"/>
        <v>0.19505494505494506</v>
      </c>
    </row>
    <row r="26" spans="1:9" ht="15.75" thickBot="1">
      <c r="A26" s="173" t="s">
        <v>19</v>
      </c>
      <c r="B26" s="272" t="s">
        <v>204</v>
      </c>
      <c r="C26" s="61">
        <v>500.5</v>
      </c>
      <c r="D26" s="61">
        <v>550</v>
      </c>
      <c r="E26" s="69">
        <f t="shared" si="4"/>
        <v>49.5</v>
      </c>
      <c r="F26" s="153">
        <f>_xlfn.XLOOKUP(A26,'Acadia Ref'!A:A,'Acadia Ref'!B:B,"")</f>
        <v>0.4</v>
      </c>
      <c r="G26" s="68">
        <f t="shared" si="1"/>
        <v>52.5</v>
      </c>
      <c r="H26" s="35">
        <f t="shared" si="7"/>
        <v>102</v>
      </c>
      <c r="I26" s="67">
        <f t="shared" si="5"/>
        <v>0.20379620379620381</v>
      </c>
    </row>
    <row r="27" spans="1:9" ht="15.75" thickBot="1">
      <c r="A27" s="173" t="s">
        <v>10</v>
      </c>
      <c r="B27" s="272" t="s">
        <v>108</v>
      </c>
      <c r="C27" s="61">
        <v>359.45</v>
      </c>
      <c r="D27" s="61">
        <v>395</v>
      </c>
      <c r="E27" s="69">
        <f t="shared" si="4"/>
        <v>35.550000000000011</v>
      </c>
      <c r="F27" s="153">
        <f>_xlfn.XLOOKUP(A27,'Acadia Ref'!A:A,'Acadia Ref'!B:B,"")</f>
        <v>1</v>
      </c>
      <c r="G27" s="68">
        <f t="shared" si="1"/>
        <v>131.25</v>
      </c>
      <c r="H27" s="35">
        <f t="shared" si="7"/>
        <v>166.8</v>
      </c>
      <c r="I27" s="67">
        <f t="shared" si="5"/>
        <v>0.46404228682709697</v>
      </c>
    </row>
    <row r="28" spans="1:9" ht="15.75" thickBot="1">
      <c r="A28" s="173" t="s">
        <v>41</v>
      </c>
      <c r="B28" s="272" t="s">
        <v>228</v>
      </c>
      <c r="C28" s="61">
        <v>887.25</v>
      </c>
      <c r="D28" s="61">
        <v>975</v>
      </c>
      <c r="E28" s="69">
        <f t="shared" si="4"/>
        <v>87.75</v>
      </c>
      <c r="F28" s="153">
        <f>_xlfn.XLOOKUP(A28,'Acadia Ref'!A:A,'Acadia Ref'!B:B,"")</f>
        <v>1</v>
      </c>
      <c r="G28" s="68">
        <f t="shared" si="1"/>
        <v>131.25</v>
      </c>
      <c r="H28" s="35">
        <f t="shared" si="7"/>
        <v>219</v>
      </c>
      <c r="I28" s="67">
        <f t="shared" si="5"/>
        <v>0.24683009298393913</v>
      </c>
    </row>
    <row r="29" spans="1:9" ht="15.75" thickBot="1">
      <c r="A29" s="173" t="s">
        <v>63</v>
      </c>
      <c r="B29" s="272" t="s">
        <v>76</v>
      </c>
      <c r="C29" s="61">
        <v>177.45</v>
      </c>
      <c r="D29" s="61">
        <v>195</v>
      </c>
      <c r="E29" s="69">
        <f t="shared" si="4"/>
        <v>17.550000000000011</v>
      </c>
      <c r="F29" s="153">
        <f>_xlfn.XLOOKUP(A29,'Acadia Ref'!A:A,'Acadia Ref'!B:B,"")</f>
        <v>0.1</v>
      </c>
      <c r="G29" s="68">
        <f t="shared" si="1"/>
        <v>13.125</v>
      </c>
      <c r="H29" s="35">
        <f t="shared" si="7"/>
        <v>30.675000000000011</v>
      </c>
      <c r="I29" s="67">
        <f t="shared" si="5"/>
        <v>0.1728655959425191</v>
      </c>
    </row>
    <row r="30" spans="1:9" ht="15.75" thickBot="1">
      <c r="A30" s="173" t="s">
        <v>21</v>
      </c>
      <c r="B30" s="272" t="s">
        <v>167</v>
      </c>
      <c r="C30" s="61">
        <v>450.45</v>
      </c>
      <c r="D30" s="61">
        <v>495</v>
      </c>
      <c r="E30" s="69">
        <f t="shared" si="4"/>
        <v>44.550000000000011</v>
      </c>
      <c r="F30" s="153">
        <f>_xlfn.XLOOKUP(A30,'Acadia Ref'!A:A,'Acadia Ref'!B:B,"")</f>
        <v>1</v>
      </c>
      <c r="G30" s="68">
        <f t="shared" si="1"/>
        <v>131.25</v>
      </c>
      <c r="H30" s="35">
        <f t="shared" si="7"/>
        <v>175.8</v>
      </c>
      <c r="I30" s="67">
        <f t="shared" si="5"/>
        <v>0.39027639027639033</v>
      </c>
    </row>
    <row r="31" spans="1:9" ht="15.75" thickBot="1">
      <c r="A31" s="173" t="s">
        <v>22</v>
      </c>
      <c r="B31" s="272" t="s">
        <v>229</v>
      </c>
      <c r="C31" s="61">
        <v>1319.5</v>
      </c>
      <c r="D31" s="61">
        <v>1450</v>
      </c>
      <c r="E31" s="69">
        <f t="shared" si="4"/>
        <v>130.5</v>
      </c>
      <c r="F31" s="153">
        <f>_xlfn.XLOOKUP(A31,'Acadia Ref'!A:A,'Acadia Ref'!B:B,"")</f>
        <v>1</v>
      </c>
      <c r="G31" s="68">
        <f t="shared" si="1"/>
        <v>131.25</v>
      </c>
      <c r="H31" s="35">
        <f t="shared" si="7"/>
        <v>261.75</v>
      </c>
      <c r="I31" s="67">
        <f t="shared" si="5"/>
        <v>0.19837059492231907</v>
      </c>
    </row>
    <row r="32" spans="1:9">
      <c r="A32" s="173" t="s">
        <v>65</v>
      </c>
      <c r="B32" s="272" t="s">
        <v>66</v>
      </c>
      <c r="C32" s="61">
        <v>86.45</v>
      </c>
      <c r="D32" s="61">
        <v>95</v>
      </c>
      <c r="E32" s="69">
        <f t="shared" si="4"/>
        <v>8.5499999999999972</v>
      </c>
      <c r="F32" s="153">
        <f>_xlfn.XLOOKUP(A32,'Acadia Ref'!A:A,'Acadia Ref'!B:B,"")</f>
        <v>0.1</v>
      </c>
      <c r="G32" s="68">
        <f t="shared" si="1"/>
        <v>13.125</v>
      </c>
      <c r="H32" s="35">
        <f t="shared" si="7"/>
        <v>21.674999999999997</v>
      </c>
      <c r="I32" s="67">
        <f t="shared" si="5"/>
        <v>0.25072296124927701</v>
      </c>
    </row>
    <row r="33" spans="2:2">
      <c r="B33" s="6"/>
    </row>
    <row r="60" spans="22:22">
      <c r="V60" s="284"/>
    </row>
  </sheetData>
  <autoFilter ref="A4:I4" xr:uid="{00000000-0001-0000-0700-000000000000}"/>
  <sortState xmlns:xlrd2="http://schemas.microsoft.com/office/spreadsheetml/2017/richdata2" ref="A19:I32">
    <sortCondition descending="1" ref="I19:I32"/>
  </sortState>
  <mergeCells count="4">
    <mergeCell ref="A1:I1"/>
    <mergeCell ref="C3:E3"/>
    <mergeCell ref="F3:G3"/>
    <mergeCell ref="H3:I3"/>
  </mergeCells>
  <printOptions horizontalCentered="1"/>
  <pageMargins left="0.25" right="0.25" top="0.5" bottom="0.3" header="0.3" footer="0.3"/>
  <pageSetup scale="93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F8CD1-B67E-4F43-B16B-6519844CAD4C}">
  <sheetPr codeName="Sheet18">
    <tabColor theme="4" tint="-0.249977111117893"/>
  </sheetPr>
  <dimension ref="A1:V60"/>
  <sheetViews>
    <sheetView topLeftCell="A26" workbookViewId="0">
      <selection activeCell="O91" sqref="O91"/>
    </sheetView>
  </sheetViews>
  <sheetFormatPr defaultRowHeight="15"/>
  <sheetData>
    <row r="1" spans="1:10">
      <c r="A1" t="s">
        <v>17</v>
      </c>
      <c r="B1">
        <v>0.1</v>
      </c>
    </row>
    <row r="2" spans="1:10">
      <c r="A2" t="s">
        <v>248</v>
      </c>
      <c r="B2">
        <v>1.5</v>
      </c>
    </row>
    <row r="3" spans="1:10">
      <c r="A3" t="s">
        <v>90</v>
      </c>
      <c r="B3">
        <v>0.7</v>
      </c>
    </row>
    <row r="4" spans="1:10">
      <c r="A4" t="s">
        <v>112</v>
      </c>
      <c r="B4">
        <v>1</v>
      </c>
    </row>
    <row r="5" spans="1:10">
      <c r="A5" t="s">
        <v>12</v>
      </c>
      <c r="B5">
        <v>1</v>
      </c>
    </row>
    <row r="6" spans="1:10">
      <c r="A6" t="s">
        <v>10</v>
      </c>
      <c r="B6">
        <v>1</v>
      </c>
    </row>
    <row r="7" spans="1:10">
      <c r="A7" t="s">
        <v>41</v>
      </c>
      <c r="B7">
        <v>1</v>
      </c>
      <c r="G7" s="64"/>
      <c r="H7" s="158"/>
    </row>
    <row r="8" spans="1:10">
      <c r="A8" t="s">
        <v>21</v>
      </c>
      <c r="B8">
        <v>1</v>
      </c>
      <c r="G8" s="64"/>
      <c r="H8" s="158"/>
    </row>
    <row r="9" spans="1:10">
      <c r="A9" t="s">
        <v>22</v>
      </c>
      <c r="B9">
        <v>1</v>
      </c>
      <c r="G9" s="64"/>
      <c r="H9" s="158"/>
    </row>
    <row r="10" spans="1:10">
      <c r="A10" t="s">
        <v>19</v>
      </c>
      <c r="B10">
        <v>0.4</v>
      </c>
      <c r="G10" s="64"/>
      <c r="H10" s="158"/>
      <c r="I10" s="53"/>
      <c r="J10" s="64"/>
    </row>
    <row r="11" spans="1:10">
      <c r="A11" t="s">
        <v>36</v>
      </c>
      <c r="B11">
        <v>0.2</v>
      </c>
      <c r="G11" s="64"/>
      <c r="H11" s="158"/>
      <c r="I11" s="53"/>
      <c r="J11" s="64"/>
    </row>
    <row r="12" spans="1:10">
      <c r="A12" t="s">
        <v>82</v>
      </c>
      <c r="B12">
        <v>0.1</v>
      </c>
      <c r="G12" s="64"/>
      <c r="H12" s="158"/>
      <c r="I12" s="53"/>
      <c r="J12" s="64"/>
    </row>
    <row r="13" spans="1:10">
      <c r="A13" t="s">
        <v>27</v>
      </c>
      <c r="B13">
        <v>1</v>
      </c>
      <c r="I13" s="53"/>
      <c r="J13" s="64"/>
    </row>
    <row r="14" spans="1:10">
      <c r="A14" t="s">
        <v>60</v>
      </c>
      <c r="B14">
        <v>0.2</v>
      </c>
      <c r="I14" s="53"/>
      <c r="J14" s="64"/>
    </row>
    <row r="15" spans="1:10">
      <c r="A15" t="s">
        <v>59</v>
      </c>
      <c r="B15">
        <v>0.1</v>
      </c>
      <c r="I15" s="53"/>
      <c r="J15" s="64"/>
    </row>
    <row r="16" spans="1:10">
      <c r="A16" t="s">
        <v>145</v>
      </c>
      <c r="B16">
        <v>0.1</v>
      </c>
      <c r="I16" s="53"/>
      <c r="J16" s="64"/>
    </row>
    <row r="17" spans="1:2">
      <c r="A17" t="s">
        <v>62</v>
      </c>
      <c r="B17">
        <v>0.1</v>
      </c>
    </row>
    <row r="18" spans="1:2">
      <c r="A18" t="s">
        <v>63</v>
      </c>
      <c r="B18">
        <v>0.1</v>
      </c>
    </row>
    <row r="19" spans="1:2">
      <c r="A19" t="s">
        <v>65</v>
      </c>
      <c r="B19">
        <v>0.1</v>
      </c>
    </row>
    <row r="20" spans="1:2">
      <c r="A20" t="s">
        <v>173</v>
      </c>
      <c r="B20">
        <v>1</v>
      </c>
    </row>
    <row r="21" spans="1:2">
      <c r="A21" t="s">
        <v>121</v>
      </c>
      <c r="B21">
        <v>1</v>
      </c>
    </row>
    <row r="22" spans="1:2">
      <c r="A22" t="s">
        <v>146</v>
      </c>
      <c r="B22">
        <v>1</v>
      </c>
    </row>
    <row r="23" spans="1:2">
      <c r="A23" t="s">
        <v>15</v>
      </c>
      <c r="B23">
        <v>0.1</v>
      </c>
    </row>
    <row r="24" spans="1:2">
      <c r="A24" t="s">
        <v>150</v>
      </c>
      <c r="B24" cm="1">
        <f t="array" aca="1" ref="B24" ca="1">+OFFSET(S0M,0,1)+OFFSET(_RN2,0,1)+OFFSET(S3I,0,1)+OFFSET(SFZ,0,1)</f>
        <v>4.2</v>
      </c>
    </row>
    <row r="25" spans="1:2">
      <c r="A25" t="s">
        <v>69</v>
      </c>
      <c r="B25">
        <f ca="1">+OFFSET(EU2,0,1)+OFFSET(VLL,0,1)+OFFSET(VQO,0,1)+OFFSET(SB1_,0,1)</f>
        <v>2.4</v>
      </c>
    </row>
    <row r="26" spans="1:2">
      <c r="A26" t="s">
        <v>56</v>
      </c>
      <c r="B26">
        <f ca="1">+OFFSET(VLL, 0,1)+OFFSET(VQK,0,1)</f>
        <v>1.4</v>
      </c>
    </row>
    <row r="27" spans="1:2">
      <c r="A27" t="s">
        <v>78</v>
      </c>
      <c r="B27">
        <f ca="1">+OFFSET(CAV,0,1)+OFFSET(RIA,0,1)+OFFSET(RIB,0,1)</f>
        <v>0.4</v>
      </c>
    </row>
    <row r="28" spans="1:2">
      <c r="A28" t="s">
        <v>58</v>
      </c>
      <c r="B28">
        <f ca="1">+OFFSET(VRS,0,1)+OFFSET(W2D,0,1)+OFFSET(SHX,0,1)</f>
        <v>0.30000000000000004</v>
      </c>
    </row>
    <row r="29" spans="1:2">
      <c r="A29" t="s">
        <v>57</v>
      </c>
      <c r="B29">
        <f ca="1">+OFFSET(VAV,0,1)+OFFSET(RIB,0,1)+OFFSET(VLI,0,1)</f>
        <v>0.4</v>
      </c>
    </row>
    <row r="30" spans="1:2">
      <c r="A30" t="s">
        <v>445</v>
      </c>
      <c r="B30">
        <v>0.3</v>
      </c>
    </row>
    <row r="31" spans="1:2">
      <c r="A31" t="s">
        <v>81</v>
      </c>
      <c r="B31">
        <v>0.3</v>
      </c>
    </row>
    <row r="60" spans="22:22">
      <c r="V60" s="284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9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ColWidth="8.85546875" defaultRowHeight="15"/>
  <cols>
    <col min="1" max="1" width="8.7109375" style="5" customWidth="1"/>
    <col min="2" max="2" width="59.42578125" style="5" bestFit="1" customWidth="1"/>
    <col min="3" max="9" width="12.7109375" style="5" customWidth="1"/>
    <col min="10" max="10" width="8.85546875" style="5"/>
    <col min="11" max="11" width="21.42578125" style="5" bestFit="1" customWidth="1"/>
    <col min="12" max="16384" width="8.85546875" style="5"/>
  </cols>
  <sheetData>
    <row r="1" spans="1:9" ht="24" thickBot="1">
      <c r="A1" s="323" t="s">
        <v>458</v>
      </c>
      <c r="B1" s="323"/>
      <c r="C1" s="323"/>
      <c r="D1" s="323"/>
      <c r="E1" s="323"/>
      <c r="F1" s="323"/>
      <c r="G1" s="323"/>
      <c r="H1" s="323"/>
      <c r="I1" s="324"/>
    </row>
    <row r="2" spans="1:9" ht="12" customHeight="1" thickBot="1">
      <c r="A2" s="27"/>
      <c r="B2" s="24"/>
      <c r="C2" s="22"/>
      <c r="D2" s="22"/>
      <c r="E2" s="22"/>
      <c r="F2" s="22"/>
      <c r="G2" s="22"/>
      <c r="H2" s="27"/>
    </row>
    <row r="3" spans="1:9" ht="24" thickBot="1">
      <c r="A3" s="28"/>
      <c r="B3" s="47"/>
      <c r="C3" s="48" t="s">
        <v>170</v>
      </c>
      <c r="D3" s="49"/>
      <c r="E3" s="50"/>
      <c r="F3" s="48" t="s">
        <v>171</v>
      </c>
      <c r="G3" s="50"/>
      <c r="H3" s="51" t="s">
        <v>172</v>
      </c>
      <c r="I3" s="52"/>
    </row>
    <row r="4" spans="1:9" ht="45.75" customHeight="1" thickBot="1">
      <c r="A4" s="33" t="s">
        <v>0</v>
      </c>
      <c r="B4" s="31" t="s">
        <v>1</v>
      </c>
      <c r="C4" s="71" t="s">
        <v>3</v>
      </c>
      <c r="D4" s="72" t="s">
        <v>4</v>
      </c>
      <c r="E4" s="37" t="s">
        <v>6</v>
      </c>
      <c r="F4" s="152" t="s">
        <v>2</v>
      </c>
      <c r="G4" s="38" t="s">
        <v>5</v>
      </c>
      <c r="H4" s="39" t="s">
        <v>7</v>
      </c>
      <c r="I4" s="26" t="s">
        <v>8</v>
      </c>
    </row>
    <row r="5" spans="1:9" ht="15.75" thickBot="1">
      <c r="A5" s="279" t="s">
        <v>78</v>
      </c>
      <c r="B5" s="282" t="s">
        <v>446</v>
      </c>
      <c r="C5" s="259">
        <v>1592.5</v>
      </c>
      <c r="D5" s="260">
        <v>1750</v>
      </c>
      <c r="E5" s="275">
        <f t="shared" ref="E5:E6" si="0">D5-C5</f>
        <v>157.5</v>
      </c>
      <c r="F5" s="171">
        <f ca="1">_xlfn.XLOOKUP(A5,'Yukon Ref'!A:A,'Yukon Ref'!B:B,"")</f>
        <v>3</v>
      </c>
      <c r="G5" s="68">
        <f t="shared" ref="G5:G27" ca="1" si="1">(F5*Labor)*SvcGross</f>
        <v>393.75</v>
      </c>
      <c r="H5" s="35">
        <f t="shared" ref="H5:H10" ca="1" si="2">G5+E5</f>
        <v>551.25</v>
      </c>
      <c r="I5" s="130">
        <f t="shared" ref="I5:I10" ca="1" si="3">H5/C5</f>
        <v>0.34615384615384615</v>
      </c>
    </row>
    <row r="6" spans="1:9" ht="15.75" thickBot="1">
      <c r="A6" s="280" t="s">
        <v>148</v>
      </c>
      <c r="B6" s="165" t="s">
        <v>447</v>
      </c>
      <c r="C6" s="120">
        <v>5091.45</v>
      </c>
      <c r="D6" s="262">
        <v>5595</v>
      </c>
      <c r="E6" s="275">
        <f t="shared" si="0"/>
        <v>503.55000000000018</v>
      </c>
      <c r="F6" s="171">
        <f ca="1">_xlfn.XLOOKUP(A6,'Yukon Ref'!A:A,'Yukon Ref'!B:B,"")</f>
        <v>2.6</v>
      </c>
      <c r="G6" s="68">
        <f t="shared" ca="1" si="1"/>
        <v>341.25</v>
      </c>
      <c r="H6" s="35">
        <f t="shared" ca="1" si="2"/>
        <v>844.80000000000018</v>
      </c>
      <c r="I6" s="130">
        <f t="shared" ca="1" si="3"/>
        <v>0.16592522758742603</v>
      </c>
    </row>
    <row r="7" spans="1:9" ht="15.75" thickBot="1">
      <c r="A7" s="280" t="s">
        <v>144</v>
      </c>
      <c r="B7" s="165" t="s">
        <v>448</v>
      </c>
      <c r="C7" s="120">
        <v>4408.95</v>
      </c>
      <c r="D7" s="262">
        <v>4845</v>
      </c>
      <c r="E7" s="276">
        <f t="shared" ref="E7:E36" si="4">D7-C7</f>
        <v>436.05000000000018</v>
      </c>
      <c r="F7" s="171">
        <f ca="1">_xlfn.XLOOKUP(A7,'Yukon Ref'!A:A,'Yukon Ref'!B:B,"")</f>
        <v>1.6</v>
      </c>
      <c r="G7" s="68">
        <f t="shared" ca="1" si="1"/>
        <v>210</v>
      </c>
      <c r="H7" s="36">
        <f t="shared" ca="1" si="2"/>
        <v>646.05000000000018</v>
      </c>
      <c r="I7" s="131">
        <f t="shared" ca="1" si="3"/>
        <v>0.14653148708876268</v>
      </c>
    </row>
    <row r="8" spans="1:9" ht="15.75" thickBot="1">
      <c r="A8" s="280" t="s">
        <v>143</v>
      </c>
      <c r="B8" s="165" t="s">
        <v>449</v>
      </c>
      <c r="C8" s="120">
        <v>359.45</v>
      </c>
      <c r="D8" s="262">
        <v>395</v>
      </c>
      <c r="E8" s="276">
        <f t="shared" si="4"/>
        <v>35.550000000000011</v>
      </c>
      <c r="F8" s="171">
        <f ca="1">_xlfn.XLOOKUP(A8,'Yukon Ref'!A:A,'Yukon Ref'!B:B,"")</f>
        <v>0.2</v>
      </c>
      <c r="G8" s="68">
        <f t="shared" ca="1" si="1"/>
        <v>26.25</v>
      </c>
      <c r="H8" s="36">
        <f t="shared" ca="1" si="2"/>
        <v>61.800000000000011</v>
      </c>
      <c r="I8" s="131">
        <f t="shared" ca="1" si="3"/>
        <v>0.17192933648629855</v>
      </c>
    </row>
    <row r="9" spans="1:9" ht="15.75" thickBot="1">
      <c r="A9" s="280" t="s">
        <v>230</v>
      </c>
      <c r="B9" s="165" t="s">
        <v>450</v>
      </c>
      <c r="C9" s="120">
        <v>4322.5</v>
      </c>
      <c r="D9" s="262">
        <v>4750</v>
      </c>
      <c r="E9" s="276">
        <f t="shared" si="4"/>
        <v>427.5</v>
      </c>
      <c r="F9" s="171">
        <f ca="1">_xlfn.XLOOKUP(A9,'Yukon Ref'!A:A,'Yukon Ref'!B:B,"")</f>
        <v>1.7000000000000002</v>
      </c>
      <c r="G9" s="68">
        <f t="shared" ca="1" si="1"/>
        <v>223.12500000000006</v>
      </c>
      <c r="H9" s="36">
        <f t="shared" ca="1" si="2"/>
        <v>650.625</v>
      </c>
      <c r="I9" s="131">
        <f t="shared" ca="1" si="3"/>
        <v>0.15052053209947946</v>
      </c>
    </row>
    <row r="10" spans="1:9" ht="15.75" thickBot="1">
      <c r="A10" s="280" t="s">
        <v>371</v>
      </c>
      <c r="B10" s="165" t="s">
        <v>451</v>
      </c>
      <c r="C10" s="120">
        <v>541.45000000000005</v>
      </c>
      <c r="D10" s="262">
        <v>595</v>
      </c>
      <c r="E10" s="276">
        <f t="shared" si="4"/>
        <v>53.549999999999955</v>
      </c>
      <c r="F10" s="171">
        <f ca="1">_xlfn.XLOOKUP(A10,'Yukon Ref'!A:A,'Yukon Ref'!B:B,"")</f>
        <v>0.30000000000000004</v>
      </c>
      <c r="G10" s="68">
        <f t="shared" ca="1" si="1"/>
        <v>39.375000000000007</v>
      </c>
      <c r="H10" s="36">
        <f t="shared" ca="1" si="2"/>
        <v>92.924999999999955</v>
      </c>
      <c r="I10" s="131">
        <f t="shared" ca="1" si="3"/>
        <v>0.17162249515190681</v>
      </c>
    </row>
    <row r="11" spans="1:9" ht="15.75" thickBot="1">
      <c r="A11" s="280" t="s">
        <v>354</v>
      </c>
      <c r="B11" s="165" t="s">
        <v>452</v>
      </c>
      <c r="C11" s="120">
        <v>1815.45</v>
      </c>
      <c r="D11" s="262">
        <v>1995</v>
      </c>
      <c r="E11" s="276">
        <f t="shared" si="4"/>
        <v>179.54999999999995</v>
      </c>
      <c r="F11" s="171">
        <f ca="1">_xlfn.XLOOKUP(A11,'Yukon Ref'!A:A,'Yukon Ref'!B:B,"")</f>
        <v>3.8</v>
      </c>
      <c r="G11" s="68">
        <f t="shared" ca="1" si="1"/>
        <v>498.75</v>
      </c>
      <c r="H11" s="45">
        <f ca="1">G11+E11</f>
        <v>678.3</v>
      </c>
      <c r="I11" s="161">
        <f ca="1">H11/C11</f>
        <v>0.37362637362637358</v>
      </c>
    </row>
    <row r="12" spans="1:9" ht="15.75" thickBot="1">
      <c r="A12" s="280" t="s">
        <v>372</v>
      </c>
      <c r="B12" s="165" t="s">
        <v>453</v>
      </c>
      <c r="C12" s="120">
        <v>3412.5</v>
      </c>
      <c r="D12" s="262">
        <v>3750</v>
      </c>
      <c r="E12" s="276">
        <f t="shared" si="4"/>
        <v>337.5</v>
      </c>
      <c r="F12" s="171">
        <f ca="1">_xlfn.XLOOKUP(A12,'Yukon Ref'!A:A,'Yukon Ref'!B:B,"")</f>
        <v>3.5999999999999996</v>
      </c>
      <c r="G12" s="68">
        <f t="shared" ca="1" si="1"/>
        <v>472.49999999999989</v>
      </c>
      <c r="H12" s="34">
        <f t="shared" ref="H12:H24" ca="1" si="5">G12+E12</f>
        <v>809.99999999999989</v>
      </c>
      <c r="I12" s="67">
        <f t="shared" ref="I12:I24" ca="1" si="6">H12/C12</f>
        <v>0.23736263736263732</v>
      </c>
    </row>
    <row r="13" spans="1:9" ht="15.75" thickBot="1">
      <c r="A13" s="280" t="s">
        <v>88</v>
      </c>
      <c r="B13" s="165" t="s">
        <v>245</v>
      </c>
      <c r="C13" s="120">
        <v>541.45000000000005</v>
      </c>
      <c r="D13" s="262">
        <v>595</v>
      </c>
      <c r="E13" s="276">
        <f t="shared" si="4"/>
        <v>53.549999999999955</v>
      </c>
      <c r="F13" s="171">
        <f ca="1">_xlfn.XLOOKUP(A13,'Yukon Ref'!A:A,'Yukon Ref'!B:B,"")</f>
        <v>0.30000000000000004</v>
      </c>
      <c r="G13" s="68">
        <f t="shared" ca="1" si="1"/>
        <v>39.375000000000007</v>
      </c>
      <c r="H13" s="35">
        <f t="shared" ca="1" si="5"/>
        <v>92.924999999999955</v>
      </c>
      <c r="I13" s="130">
        <f t="shared" ca="1" si="6"/>
        <v>0.17162249515190681</v>
      </c>
    </row>
    <row r="14" spans="1:9" ht="15.75" thickBot="1">
      <c r="A14" s="280" t="s">
        <v>373</v>
      </c>
      <c r="B14" s="165" t="s">
        <v>454</v>
      </c>
      <c r="C14" s="120">
        <v>1023.75</v>
      </c>
      <c r="D14" s="262">
        <v>1125</v>
      </c>
      <c r="E14" s="276">
        <f t="shared" si="4"/>
        <v>101.25</v>
      </c>
      <c r="F14" s="171">
        <f ca="1">_xlfn.XLOOKUP(A14,'Yukon Ref'!A:A,'Yukon Ref'!B:B,"")</f>
        <v>2</v>
      </c>
      <c r="G14" s="68">
        <f t="shared" ca="1" si="1"/>
        <v>262.5</v>
      </c>
      <c r="H14" s="35">
        <f t="shared" ca="1" si="5"/>
        <v>363.75</v>
      </c>
      <c r="I14" s="130">
        <f t="shared" ca="1" si="6"/>
        <v>0.35531135531135533</v>
      </c>
    </row>
    <row r="15" spans="1:9" ht="15.75" thickBot="1">
      <c r="A15" s="281" t="s">
        <v>25</v>
      </c>
      <c r="B15" s="283" t="s">
        <v>455</v>
      </c>
      <c r="C15" s="263">
        <v>1137.5</v>
      </c>
      <c r="D15" s="264">
        <v>1250</v>
      </c>
      <c r="E15" s="276">
        <f t="shared" si="4"/>
        <v>112.5</v>
      </c>
      <c r="F15" s="171">
        <f ca="1">_xlfn.XLOOKUP(A15,'Yukon Ref'!A:A,'Yukon Ref'!B:B,"")</f>
        <v>1.7000000000000002</v>
      </c>
      <c r="G15" s="68">
        <f t="shared" ca="1" si="1"/>
        <v>223.12500000000006</v>
      </c>
      <c r="H15" s="35">
        <f t="shared" ca="1" si="5"/>
        <v>335.62500000000006</v>
      </c>
      <c r="I15" s="130">
        <f t="shared" ca="1" si="6"/>
        <v>0.29505494505494512</v>
      </c>
    </row>
    <row r="16" spans="1:9" ht="15.75" thickBot="1">
      <c r="A16" s="277" t="s">
        <v>14</v>
      </c>
      <c r="B16" s="277" t="s">
        <v>370</v>
      </c>
      <c r="C16" s="278">
        <v>541.45000000000005</v>
      </c>
      <c r="D16" s="278">
        <v>595</v>
      </c>
      <c r="E16" s="160">
        <f>D16-C16</f>
        <v>53.549999999999955</v>
      </c>
      <c r="F16" s="171">
        <f>_xlfn.XLOOKUP(A16,'Yukon Ref'!A:A,'Yukon Ref'!B:B,"")</f>
        <v>1</v>
      </c>
      <c r="G16" s="68">
        <f>(F16*Labor)*SvcGross</f>
        <v>131.25</v>
      </c>
      <c r="H16" s="36">
        <f>G16+E16</f>
        <v>184.79999999999995</v>
      </c>
      <c r="I16" s="131">
        <f>H16/C16</f>
        <v>0.34130575307045885</v>
      </c>
    </row>
    <row r="17" spans="1:9" ht="15.75" thickBot="1">
      <c r="A17" s="273" t="s">
        <v>119</v>
      </c>
      <c r="B17" s="273" t="s">
        <v>456</v>
      </c>
      <c r="C17" s="274">
        <v>3412.5</v>
      </c>
      <c r="D17" s="274">
        <v>3750</v>
      </c>
      <c r="E17" s="159">
        <f>D17-C17</f>
        <v>337.5</v>
      </c>
      <c r="F17" s="171">
        <f>_xlfn.XLOOKUP(A17,'Yukon Ref'!A:A,'Yukon Ref'!B:B,"")</f>
        <v>2.8</v>
      </c>
      <c r="G17" s="68">
        <f>(F17*Labor)*SvcGross</f>
        <v>367.49999999999994</v>
      </c>
      <c r="H17" s="35">
        <f>G17+E17</f>
        <v>705</v>
      </c>
      <c r="I17" s="130">
        <f>H17/C17</f>
        <v>0.20659340659340658</v>
      </c>
    </row>
    <row r="18" spans="1:9" ht="15.75" thickBot="1">
      <c r="A18" s="273" t="s">
        <v>89</v>
      </c>
      <c r="B18" s="273" t="s">
        <v>368</v>
      </c>
      <c r="C18" s="274">
        <v>450.45</v>
      </c>
      <c r="D18" s="274">
        <v>495</v>
      </c>
      <c r="E18" s="159">
        <f>D18-C18</f>
        <v>44.550000000000011</v>
      </c>
      <c r="F18" s="171">
        <f>_xlfn.XLOOKUP(A18,'Yukon Ref'!A:A,'Yukon Ref'!B:B,"")</f>
        <v>0.5</v>
      </c>
      <c r="G18" s="68">
        <f>(F18*Labor)*SvcGross</f>
        <v>65.625</v>
      </c>
      <c r="H18" s="35">
        <f>G18+E18</f>
        <v>110.17500000000001</v>
      </c>
      <c r="I18" s="130">
        <f>H18/C18</f>
        <v>0.24458874458874463</v>
      </c>
    </row>
    <row r="19" spans="1:9" ht="15.75" thickBot="1">
      <c r="A19" s="273" t="s">
        <v>47</v>
      </c>
      <c r="B19" s="273" t="s">
        <v>369</v>
      </c>
      <c r="C19" s="274">
        <v>268.45</v>
      </c>
      <c r="D19" s="274">
        <v>295</v>
      </c>
      <c r="E19" s="159">
        <f>D19-C19</f>
        <v>26.550000000000011</v>
      </c>
      <c r="F19" s="171">
        <f>_xlfn.XLOOKUP(A19,'Yukon Ref'!A:A,'Yukon Ref'!B:B,"")</f>
        <v>0.1</v>
      </c>
      <c r="G19" s="68">
        <f>(F19*Labor)*SvcGross</f>
        <v>13.125</v>
      </c>
      <c r="H19" s="35">
        <f>G19+E19</f>
        <v>39.675000000000011</v>
      </c>
      <c r="I19" s="130">
        <f>H19/C19</f>
        <v>0.14779288508102073</v>
      </c>
    </row>
    <row r="20" spans="1:9" ht="15.75" thickBot="1">
      <c r="A20" s="273" t="s">
        <v>36</v>
      </c>
      <c r="B20" s="273" t="s">
        <v>374</v>
      </c>
      <c r="C20" s="274">
        <v>150.15</v>
      </c>
      <c r="D20" s="274">
        <v>165</v>
      </c>
      <c r="E20" s="160">
        <f t="shared" si="4"/>
        <v>14.849999999999994</v>
      </c>
      <c r="F20" s="171">
        <f>_xlfn.XLOOKUP(A20,'Yukon Ref'!A:A,'Yukon Ref'!B:B,"")</f>
        <v>0.1</v>
      </c>
      <c r="G20" s="68">
        <f t="shared" si="1"/>
        <v>13.125</v>
      </c>
      <c r="H20" s="35">
        <f t="shared" si="5"/>
        <v>27.974999999999994</v>
      </c>
      <c r="I20" s="130">
        <f t="shared" si="6"/>
        <v>0.18631368631368628</v>
      </c>
    </row>
    <row r="21" spans="1:9" ht="15.75" thickBot="1">
      <c r="A21" s="273" t="s">
        <v>248</v>
      </c>
      <c r="B21" s="273" t="s">
        <v>375</v>
      </c>
      <c r="C21" s="274">
        <v>450.45</v>
      </c>
      <c r="D21" s="274">
        <v>495</v>
      </c>
      <c r="E21" s="160">
        <f t="shared" si="4"/>
        <v>44.550000000000011</v>
      </c>
      <c r="F21" s="171">
        <f>_xlfn.XLOOKUP(A21,'Yukon Ref'!A:A,'Yukon Ref'!B:B,"")</f>
        <v>0.6</v>
      </c>
      <c r="G21" s="68">
        <f t="shared" si="1"/>
        <v>78.75</v>
      </c>
      <c r="H21" s="35">
        <f t="shared" si="5"/>
        <v>123.30000000000001</v>
      </c>
      <c r="I21" s="130">
        <f t="shared" si="6"/>
        <v>0.27372627372627378</v>
      </c>
    </row>
    <row r="22" spans="1:9" ht="15.75" thickBot="1">
      <c r="A22" s="273" t="s">
        <v>27</v>
      </c>
      <c r="B22" s="273" t="s">
        <v>376</v>
      </c>
      <c r="C22" s="274">
        <v>632.45000000000005</v>
      </c>
      <c r="D22" s="274">
        <v>695</v>
      </c>
      <c r="E22" s="160">
        <f t="shared" si="4"/>
        <v>62.549999999999955</v>
      </c>
      <c r="F22" s="171">
        <f>_xlfn.XLOOKUP(A22,'Yukon Ref'!A:A,'Yukon Ref'!B:B,"")</f>
        <v>1.5</v>
      </c>
      <c r="G22" s="68">
        <f t="shared" si="1"/>
        <v>196.875</v>
      </c>
      <c r="H22" s="35">
        <f t="shared" si="5"/>
        <v>259.42499999999995</v>
      </c>
      <c r="I22" s="130">
        <f t="shared" si="6"/>
        <v>0.41019052889556479</v>
      </c>
    </row>
    <row r="23" spans="1:9" ht="15.75" thickBot="1">
      <c r="A23" s="273" t="s">
        <v>93</v>
      </c>
      <c r="B23" s="273" t="s">
        <v>177</v>
      </c>
      <c r="C23" s="274">
        <v>268.45</v>
      </c>
      <c r="D23" s="274">
        <v>295</v>
      </c>
      <c r="E23" s="160">
        <f t="shared" si="4"/>
        <v>26.550000000000011</v>
      </c>
      <c r="F23" s="171">
        <f>_xlfn.XLOOKUP(A23,'Yukon Ref'!A:A,'Yukon Ref'!B:B,"")</f>
        <v>0.1</v>
      </c>
      <c r="G23" s="68">
        <f t="shared" si="1"/>
        <v>13.125</v>
      </c>
      <c r="H23" s="35">
        <f t="shared" si="5"/>
        <v>39.675000000000011</v>
      </c>
      <c r="I23" s="130">
        <f t="shared" si="6"/>
        <v>0.14779288508102073</v>
      </c>
    </row>
    <row r="24" spans="1:9" ht="15.75" thickBot="1">
      <c r="A24" s="273" t="s">
        <v>18</v>
      </c>
      <c r="B24" s="273" t="s">
        <v>28</v>
      </c>
      <c r="C24" s="274">
        <v>177.45</v>
      </c>
      <c r="D24" s="274">
        <v>195</v>
      </c>
      <c r="E24" s="160">
        <f t="shared" si="4"/>
        <v>17.550000000000011</v>
      </c>
      <c r="F24" s="171">
        <f>_xlfn.XLOOKUP(A24,'Yukon Ref'!A:A,'Yukon Ref'!B:B,"")</f>
        <v>0.4</v>
      </c>
      <c r="G24" s="68">
        <f t="shared" si="1"/>
        <v>52.5</v>
      </c>
      <c r="H24" s="35">
        <f t="shared" si="5"/>
        <v>70.050000000000011</v>
      </c>
      <c r="I24" s="130">
        <f t="shared" si="6"/>
        <v>0.39475908706677948</v>
      </c>
    </row>
    <row r="25" spans="1:9" ht="15.75" thickBot="1">
      <c r="A25" s="273" t="s">
        <v>15</v>
      </c>
      <c r="B25" s="273" t="s">
        <v>29</v>
      </c>
      <c r="C25" s="274">
        <v>113.75</v>
      </c>
      <c r="D25" s="274">
        <v>125</v>
      </c>
      <c r="E25" s="160">
        <f t="shared" si="4"/>
        <v>11.25</v>
      </c>
      <c r="F25" s="171">
        <f>_xlfn.XLOOKUP(A25,'Yukon Ref'!A:A,'Yukon Ref'!B:B,"")</f>
        <v>0.1</v>
      </c>
      <c r="G25" s="68">
        <f t="shared" si="1"/>
        <v>13.125</v>
      </c>
      <c r="H25" s="46">
        <f t="shared" ref="H25:H36" si="7">G25+E25</f>
        <v>24.375</v>
      </c>
      <c r="I25" s="162">
        <f t="shared" ref="I25:I36" si="8">H25/C25</f>
        <v>0.21428571428571427</v>
      </c>
    </row>
    <row r="26" spans="1:9" ht="15.75" thickBot="1">
      <c r="A26" s="273" t="s">
        <v>91</v>
      </c>
      <c r="B26" s="273" t="s">
        <v>231</v>
      </c>
      <c r="C26" s="274">
        <v>113.75</v>
      </c>
      <c r="D26" s="274">
        <v>125</v>
      </c>
      <c r="E26" s="160">
        <f t="shared" si="4"/>
        <v>11.25</v>
      </c>
      <c r="F26" s="171">
        <f>_xlfn.XLOOKUP(A26,'Yukon Ref'!A:A,'Yukon Ref'!B:B,"")</f>
        <v>0.1</v>
      </c>
      <c r="G26" s="68">
        <f t="shared" si="1"/>
        <v>13.125</v>
      </c>
      <c r="H26" s="45">
        <f t="shared" si="7"/>
        <v>24.375</v>
      </c>
      <c r="I26" s="161">
        <f t="shared" si="8"/>
        <v>0.21428571428571427</v>
      </c>
    </row>
    <row r="27" spans="1:9" ht="15.75" thickBot="1">
      <c r="A27" s="273" t="s">
        <v>12</v>
      </c>
      <c r="B27" s="273" t="s">
        <v>377</v>
      </c>
      <c r="C27" s="274">
        <v>268.45</v>
      </c>
      <c r="D27" s="274">
        <v>295</v>
      </c>
      <c r="E27" s="160">
        <f t="shared" si="4"/>
        <v>26.550000000000011</v>
      </c>
      <c r="F27" s="171">
        <f>_xlfn.XLOOKUP(A27,'Yukon Ref'!A:A,'Yukon Ref'!B:B,"")</f>
        <v>0.9</v>
      </c>
      <c r="G27" s="68">
        <f t="shared" si="1"/>
        <v>118.125</v>
      </c>
      <c r="H27" s="45">
        <f t="shared" si="7"/>
        <v>144.67500000000001</v>
      </c>
      <c r="I27" s="161">
        <f t="shared" si="8"/>
        <v>0.53892717452039496</v>
      </c>
    </row>
    <row r="28" spans="1:9" ht="15.75" thickBot="1">
      <c r="A28" s="273" t="s">
        <v>52</v>
      </c>
      <c r="B28" s="273" t="s">
        <v>378</v>
      </c>
      <c r="C28" s="274">
        <v>2452.4499999999998</v>
      </c>
      <c r="D28" s="274">
        <v>2695</v>
      </c>
      <c r="E28" s="160">
        <f t="shared" si="4"/>
        <v>242.55000000000018</v>
      </c>
      <c r="F28" s="171">
        <f>_xlfn.XLOOKUP(A28,'Yukon Ref'!A:A,'Yukon Ref'!B:B,"")</f>
        <v>0.8</v>
      </c>
      <c r="G28" s="68">
        <f t="shared" ref="G28:G36" si="9">(F28*Labor)*SvcGross</f>
        <v>105</v>
      </c>
      <c r="H28" s="45">
        <f t="shared" si="7"/>
        <v>347.55000000000018</v>
      </c>
      <c r="I28" s="161">
        <f t="shared" si="8"/>
        <v>0.14171542742971324</v>
      </c>
    </row>
    <row r="29" spans="1:9" ht="15.75" thickBot="1">
      <c r="A29" s="273" t="s">
        <v>105</v>
      </c>
      <c r="B29" s="273" t="s">
        <v>232</v>
      </c>
      <c r="C29" s="274">
        <v>359.45</v>
      </c>
      <c r="D29" s="274">
        <v>395</v>
      </c>
      <c r="E29" s="160">
        <f t="shared" si="4"/>
        <v>35.550000000000011</v>
      </c>
      <c r="F29" s="171">
        <f>_xlfn.XLOOKUP(A29,'Yukon Ref'!A:A,'Yukon Ref'!B:B,"")</f>
        <v>0.3</v>
      </c>
      <c r="G29" s="68">
        <f t="shared" si="9"/>
        <v>39.375</v>
      </c>
      <c r="H29" s="45">
        <f t="shared" si="7"/>
        <v>74.925000000000011</v>
      </c>
      <c r="I29" s="161">
        <f t="shared" si="8"/>
        <v>0.20844345527889835</v>
      </c>
    </row>
    <row r="30" spans="1:9" ht="15.75" thickBot="1">
      <c r="A30" s="273" t="s">
        <v>94</v>
      </c>
      <c r="B30" s="273" t="s">
        <v>379</v>
      </c>
      <c r="C30" s="274">
        <v>3999.45</v>
      </c>
      <c r="D30" s="274">
        <v>4395</v>
      </c>
      <c r="E30" s="160">
        <f t="shared" si="4"/>
        <v>395.55000000000018</v>
      </c>
      <c r="F30" s="171">
        <f>_xlfn.XLOOKUP(A30,'Yukon Ref'!A:A,'Yukon Ref'!B:B,"")</f>
        <v>1</v>
      </c>
      <c r="G30" s="68">
        <f t="shared" si="9"/>
        <v>131.25</v>
      </c>
      <c r="H30" s="45">
        <f t="shared" si="7"/>
        <v>526.80000000000018</v>
      </c>
      <c r="I30" s="161">
        <f t="shared" si="8"/>
        <v>0.13171811124029559</v>
      </c>
    </row>
    <row r="31" spans="1:9" ht="15.75" thickBot="1">
      <c r="A31" s="273" t="s">
        <v>54</v>
      </c>
      <c r="B31" s="273" t="s">
        <v>380</v>
      </c>
      <c r="C31" s="274">
        <v>2725.45</v>
      </c>
      <c r="D31" s="274">
        <v>2995</v>
      </c>
      <c r="E31" s="160">
        <f t="shared" si="4"/>
        <v>269.55000000000018</v>
      </c>
      <c r="F31" s="171">
        <f>_xlfn.XLOOKUP(A31,'Yukon Ref'!A:A,'Yukon Ref'!B:B,"")</f>
        <v>0.8</v>
      </c>
      <c r="G31" s="68">
        <f t="shared" si="9"/>
        <v>105</v>
      </c>
      <c r="H31" s="45">
        <f t="shared" si="7"/>
        <v>374.55000000000018</v>
      </c>
      <c r="I31" s="161">
        <f t="shared" si="8"/>
        <v>0.13742684694270679</v>
      </c>
    </row>
    <row r="32" spans="1:9" ht="15.75" thickBot="1">
      <c r="A32" s="273" t="s">
        <v>95</v>
      </c>
      <c r="B32" s="273" t="s">
        <v>381</v>
      </c>
      <c r="C32" s="274">
        <v>3453.45</v>
      </c>
      <c r="D32" s="274">
        <v>3795</v>
      </c>
      <c r="E32" s="160">
        <f t="shared" si="4"/>
        <v>341.55000000000018</v>
      </c>
      <c r="F32" s="171">
        <f>_xlfn.XLOOKUP(A32,'Yukon Ref'!A:A,'Yukon Ref'!B:B,"")</f>
        <v>1</v>
      </c>
      <c r="G32" s="68">
        <f t="shared" si="9"/>
        <v>131.25</v>
      </c>
      <c r="H32" s="45">
        <f t="shared" si="7"/>
        <v>472.80000000000018</v>
      </c>
      <c r="I32" s="161">
        <f t="shared" si="8"/>
        <v>0.13690657168918044</v>
      </c>
    </row>
    <row r="33" spans="1:13" ht="15.75" thickBot="1">
      <c r="A33" s="273" t="s">
        <v>55</v>
      </c>
      <c r="B33" s="273" t="s">
        <v>87</v>
      </c>
      <c r="C33" s="274">
        <v>632.45000000000005</v>
      </c>
      <c r="D33" s="274">
        <v>695</v>
      </c>
      <c r="E33" s="160">
        <f t="shared" si="4"/>
        <v>62.549999999999955</v>
      </c>
      <c r="F33" s="171">
        <f>_xlfn.XLOOKUP(A33,'Yukon Ref'!A:A,'Yukon Ref'!B:B,"")</f>
        <v>0.1</v>
      </c>
      <c r="G33" s="68">
        <f t="shared" si="9"/>
        <v>13.125</v>
      </c>
      <c r="H33" s="45">
        <f t="shared" si="7"/>
        <v>75.674999999999955</v>
      </c>
      <c r="I33" s="161">
        <f t="shared" si="8"/>
        <v>0.11965372756739655</v>
      </c>
    </row>
    <row r="34" spans="1:13" ht="15.75" thickBot="1">
      <c r="A34" s="273" t="s">
        <v>10</v>
      </c>
      <c r="B34" s="273" t="s">
        <v>382</v>
      </c>
      <c r="C34" s="274">
        <v>268.45</v>
      </c>
      <c r="D34" s="274">
        <v>295</v>
      </c>
      <c r="E34" s="160">
        <f t="shared" si="4"/>
        <v>26.550000000000011</v>
      </c>
      <c r="F34" s="171">
        <f>_xlfn.XLOOKUP(A34,'Yukon Ref'!A:A,'Yukon Ref'!B:B,"")</f>
        <v>1</v>
      </c>
      <c r="G34" s="68">
        <f t="shared" si="9"/>
        <v>131.25</v>
      </c>
      <c r="H34" s="45">
        <f t="shared" si="7"/>
        <v>157.80000000000001</v>
      </c>
      <c r="I34" s="161">
        <f t="shared" si="8"/>
        <v>0.58781896070031669</v>
      </c>
    </row>
    <row r="35" spans="1:13" ht="15.75" thickBot="1">
      <c r="A35" s="273" t="s">
        <v>64</v>
      </c>
      <c r="B35" s="273" t="s">
        <v>383</v>
      </c>
      <c r="C35" s="274">
        <v>177.45</v>
      </c>
      <c r="D35" s="274">
        <v>195</v>
      </c>
      <c r="E35" s="160">
        <f t="shared" si="4"/>
        <v>17.550000000000011</v>
      </c>
      <c r="F35" s="171">
        <f>_xlfn.XLOOKUP(A35,'Yukon Ref'!A:A,'Yukon Ref'!B:B,"")</f>
        <v>0.1</v>
      </c>
      <c r="G35" s="68">
        <f t="shared" si="9"/>
        <v>13.125</v>
      </c>
      <c r="H35" s="45">
        <f t="shared" si="7"/>
        <v>30.675000000000011</v>
      </c>
      <c r="I35" s="161">
        <f t="shared" si="8"/>
        <v>0.1728655959425191</v>
      </c>
    </row>
    <row r="36" spans="1:13" ht="15.75" thickBot="1">
      <c r="A36" s="273" t="s">
        <v>92</v>
      </c>
      <c r="B36" s="273" t="s">
        <v>384</v>
      </c>
      <c r="C36" s="274">
        <v>2088.4499999999998</v>
      </c>
      <c r="D36" s="274">
        <v>2295</v>
      </c>
      <c r="E36" s="160">
        <f t="shared" si="4"/>
        <v>206.55000000000018</v>
      </c>
      <c r="F36" s="171">
        <f>_xlfn.XLOOKUP(A36,'Yukon Ref'!A:A,'Yukon Ref'!B:B,"")</f>
        <v>1.6</v>
      </c>
      <c r="G36" s="68">
        <f t="shared" si="9"/>
        <v>210</v>
      </c>
      <c r="H36" s="45">
        <f t="shared" si="7"/>
        <v>416.55000000000018</v>
      </c>
      <c r="I36" s="161">
        <f t="shared" si="8"/>
        <v>0.19945414063061132</v>
      </c>
      <c r="M36" s="13"/>
    </row>
    <row r="60" spans="22:22">
      <c r="V60" s="284"/>
    </row>
  </sheetData>
  <autoFilter ref="A4:I4" xr:uid="{00000000-0001-0000-0900-000000000000}"/>
  <sortState xmlns:xlrd2="http://schemas.microsoft.com/office/spreadsheetml/2017/richdata2" ref="A25:I36">
    <sortCondition descending="1" ref="I25:I36"/>
  </sortState>
  <mergeCells count="1">
    <mergeCell ref="A1:I1"/>
  </mergeCells>
  <printOptions horizontalCentered="1" gridLines="1"/>
  <pageMargins left="0.25" right="0.25" top="0.75" bottom="0.75" header="0.3" footer="0.3"/>
  <pageSetup scale="8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0C5C7-C512-4392-9E09-F55BEB4E8756}">
  <sheetPr codeName="Sheet20">
    <tabColor theme="4" tint="-0.249977111117893"/>
  </sheetPr>
  <dimension ref="A1:V60"/>
  <sheetViews>
    <sheetView topLeftCell="A46" workbookViewId="0">
      <selection activeCell="O91" sqref="O91"/>
    </sheetView>
  </sheetViews>
  <sheetFormatPr defaultRowHeight="15"/>
  <cols>
    <col min="12" max="12" width="5.5703125" bestFit="1" customWidth="1"/>
  </cols>
  <sheetData>
    <row r="1" spans="1:13">
      <c r="A1" t="s">
        <v>55</v>
      </c>
      <c r="B1">
        <v>0.1</v>
      </c>
    </row>
    <row r="2" spans="1:13">
      <c r="A2" t="s">
        <v>14</v>
      </c>
      <c r="B2">
        <v>1</v>
      </c>
    </row>
    <row r="3" spans="1:13">
      <c r="A3" t="s">
        <v>17</v>
      </c>
      <c r="B3">
        <v>1</v>
      </c>
    </row>
    <row r="4" spans="1:13">
      <c r="A4" t="s">
        <v>248</v>
      </c>
      <c r="B4">
        <v>0.6</v>
      </c>
    </row>
    <row r="5" spans="1:13">
      <c r="A5" t="s">
        <v>74</v>
      </c>
      <c r="B5">
        <v>1</v>
      </c>
    </row>
    <row r="6" spans="1:13">
      <c r="A6" t="s">
        <v>90</v>
      </c>
      <c r="B6">
        <v>0.1</v>
      </c>
    </row>
    <row r="7" spans="1:13">
      <c r="A7" t="s">
        <v>142</v>
      </c>
      <c r="B7">
        <v>0.8</v>
      </c>
    </row>
    <row r="8" spans="1:13">
      <c r="A8" t="s">
        <v>12</v>
      </c>
      <c r="B8">
        <v>0.9</v>
      </c>
    </row>
    <row r="9" spans="1:13">
      <c r="A9" t="s">
        <v>80</v>
      </c>
      <c r="B9">
        <v>1</v>
      </c>
    </row>
    <row r="10" spans="1:13">
      <c r="A10" t="s">
        <v>61</v>
      </c>
      <c r="B10">
        <v>0.8</v>
      </c>
    </row>
    <row r="11" spans="1:13">
      <c r="A11" t="s">
        <v>10</v>
      </c>
      <c r="B11">
        <v>1</v>
      </c>
    </row>
    <row r="12" spans="1:13">
      <c r="A12" t="s">
        <v>64</v>
      </c>
      <c r="B12">
        <v>0.1</v>
      </c>
    </row>
    <row r="13" spans="1:13">
      <c r="A13" t="s">
        <v>96</v>
      </c>
      <c r="B13">
        <v>0.3</v>
      </c>
    </row>
    <row r="14" spans="1:13">
      <c r="A14" t="s">
        <v>89</v>
      </c>
      <c r="B14">
        <v>0.5</v>
      </c>
    </row>
    <row r="15" spans="1:13">
      <c r="A15" t="s">
        <v>47</v>
      </c>
      <c r="B15">
        <v>0.1</v>
      </c>
    </row>
    <row r="16" spans="1:13">
      <c r="A16" t="s">
        <v>36</v>
      </c>
      <c r="B16">
        <v>0.1</v>
      </c>
      <c r="L16" s="53"/>
      <c r="M16" s="64"/>
    </row>
    <row r="17" spans="1:13">
      <c r="A17" t="s">
        <v>82</v>
      </c>
      <c r="B17">
        <v>0.1</v>
      </c>
      <c r="L17" s="53"/>
      <c r="M17" s="64"/>
    </row>
    <row r="18" spans="1:13">
      <c r="A18" t="s">
        <v>27</v>
      </c>
      <c r="B18">
        <v>1.5</v>
      </c>
      <c r="L18" s="53"/>
      <c r="M18" s="64"/>
    </row>
    <row r="19" spans="1:13">
      <c r="A19" t="s">
        <v>18</v>
      </c>
      <c r="B19">
        <v>0.4</v>
      </c>
      <c r="L19" s="53"/>
      <c r="M19" s="64"/>
    </row>
    <row r="20" spans="1:13">
      <c r="A20" t="s">
        <v>91</v>
      </c>
      <c r="B20">
        <v>0.1</v>
      </c>
      <c r="L20" s="53"/>
      <c r="M20" s="64"/>
    </row>
    <row r="21" spans="1:13">
      <c r="A21" t="s">
        <v>60</v>
      </c>
      <c r="B21">
        <v>0.2</v>
      </c>
      <c r="L21" s="53"/>
      <c r="M21" s="64"/>
    </row>
    <row r="22" spans="1:13">
      <c r="A22" t="s">
        <v>59</v>
      </c>
      <c r="B22">
        <v>0.1</v>
      </c>
      <c r="L22" s="53"/>
      <c r="M22" s="64"/>
    </row>
    <row r="23" spans="1:13">
      <c r="A23" t="s">
        <v>93</v>
      </c>
      <c r="B23">
        <v>0.1</v>
      </c>
      <c r="L23" s="53"/>
      <c r="M23" s="158"/>
    </row>
    <row r="24" spans="1:13">
      <c r="A24" t="s">
        <v>63</v>
      </c>
      <c r="B24">
        <v>0.1</v>
      </c>
      <c r="L24" s="53"/>
      <c r="M24" s="64"/>
    </row>
    <row r="25" spans="1:13">
      <c r="A25" t="s">
        <v>65</v>
      </c>
      <c r="B25">
        <v>0.1</v>
      </c>
      <c r="L25" s="53"/>
      <c r="M25" s="64"/>
    </row>
    <row r="26" spans="1:13">
      <c r="A26" t="s">
        <v>119</v>
      </c>
      <c r="B26">
        <v>2.8</v>
      </c>
      <c r="L26" s="53"/>
      <c r="M26" s="64"/>
    </row>
    <row r="27" spans="1:13">
      <c r="A27" t="s">
        <v>42</v>
      </c>
      <c r="B27">
        <v>0.1</v>
      </c>
    </row>
    <row r="28" spans="1:13">
      <c r="A28" t="s">
        <v>48</v>
      </c>
      <c r="B28">
        <v>0.1</v>
      </c>
    </row>
    <row r="29" spans="1:13">
      <c r="A29" t="s">
        <v>92</v>
      </c>
      <c r="B29">
        <v>1.6</v>
      </c>
    </row>
    <row r="30" spans="1:13">
      <c r="A30" t="s">
        <v>233</v>
      </c>
      <c r="B30">
        <v>1</v>
      </c>
    </row>
    <row r="31" spans="1:13">
      <c r="A31" t="s">
        <v>234</v>
      </c>
      <c r="B31">
        <v>1</v>
      </c>
    </row>
    <row r="32" spans="1:13">
      <c r="A32" t="s">
        <v>179</v>
      </c>
      <c r="B32">
        <v>1</v>
      </c>
    </row>
    <row r="33" spans="1:6">
      <c r="A33" t="s">
        <v>181</v>
      </c>
      <c r="B33">
        <v>0.8</v>
      </c>
    </row>
    <row r="34" spans="1:6">
      <c r="A34" t="s">
        <v>52</v>
      </c>
      <c r="B34">
        <v>0.8</v>
      </c>
      <c r="E34" s="164"/>
      <c r="F34" s="164"/>
    </row>
    <row r="35" spans="1:6">
      <c r="A35" t="s">
        <v>94</v>
      </c>
      <c r="B35">
        <v>1</v>
      </c>
      <c r="E35" s="164"/>
      <c r="F35" s="164"/>
    </row>
    <row r="36" spans="1:6">
      <c r="A36" t="s">
        <v>54</v>
      </c>
      <c r="B36">
        <v>0.8</v>
      </c>
      <c r="E36" s="164"/>
      <c r="F36" s="164"/>
    </row>
    <row r="37" spans="1:6">
      <c r="A37" t="s">
        <v>95</v>
      </c>
      <c r="B37">
        <v>1</v>
      </c>
      <c r="E37" s="164"/>
      <c r="F37" s="164"/>
    </row>
    <row r="38" spans="1:6">
      <c r="A38" t="s">
        <v>15</v>
      </c>
      <c r="B38">
        <v>0.1</v>
      </c>
      <c r="E38" s="164"/>
      <c r="F38" s="164"/>
    </row>
    <row r="39" spans="1:6">
      <c r="A39" t="s">
        <v>105</v>
      </c>
      <c r="B39">
        <v>0.3</v>
      </c>
      <c r="E39" s="164"/>
      <c r="F39" s="164"/>
    </row>
    <row r="40" spans="1:6">
      <c r="A40" s="164" t="s">
        <v>78</v>
      </c>
      <c r="B40">
        <f ca="1">+OFFSET(_R88,0,1)+OFFSET(_rz9,0,1)+OFFSET(RIK,0,1)</f>
        <v>3</v>
      </c>
      <c r="E40" s="164"/>
      <c r="F40" s="164"/>
    </row>
    <row r="41" spans="1:6">
      <c r="A41" s="164" t="s">
        <v>148</v>
      </c>
      <c r="B41">
        <f ca="1">+OFFSET(_5FG,0,1)+OFFSET(RIK,0,1)+OFFSET(S4X,0,1)</f>
        <v>2.6</v>
      </c>
      <c r="E41" s="164"/>
      <c r="F41" s="164"/>
    </row>
    <row r="42" spans="1:6">
      <c r="A42" s="164" t="s">
        <v>144</v>
      </c>
      <c r="B42">
        <f ca="1">+OFFSET(WBC,0,1)</f>
        <v>1.6</v>
      </c>
      <c r="E42" s="164"/>
      <c r="F42" s="164"/>
    </row>
    <row r="43" spans="1:6">
      <c r="A43" s="164" t="s">
        <v>143</v>
      </c>
      <c r="B43">
        <f ca="1">+OFFSET(VRS,0,1)+OFFSET(W2D,0,1)</f>
        <v>0.2</v>
      </c>
      <c r="E43" s="164"/>
      <c r="F43" s="164"/>
    </row>
    <row r="44" spans="1:6">
      <c r="A44" s="164" t="s">
        <v>230</v>
      </c>
      <c r="B44">
        <f ca="1">+OFFSET(VKU,0,1)+OFFSET(SFU,0,1)+OFFSET(VQZ,0,1)</f>
        <v>1.7000000000000002</v>
      </c>
      <c r="E44" s="164"/>
      <c r="F44" s="164"/>
    </row>
    <row r="45" spans="1:6">
      <c r="A45" s="164" t="s">
        <v>371</v>
      </c>
      <c r="B45">
        <f ca="1">+OFFSET(RIA,0,1)+OFFSET(RIB,0,1)+OFFSET(CAV,0,1)</f>
        <v>0.30000000000000004</v>
      </c>
    </row>
    <row r="46" spans="1:6">
      <c r="A46" s="164" t="s">
        <v>354</v>
      </c>
      <c r="B46">
        <f ca="1">+OFFSET(S4X,0,1)+OFFSET(_R88,0,1)+OFFSET(RIK,0,1)+OFFSET(SJB,0,1)</f>
        <v>3.8</v>
      </c>
    </row>
    <row r="47" spans="1:6">
      <c r="A47" s="164" t="s">
        <v>372</v>
      </c>
      <c r="B47">
        <f ca="1">+OFFSET(SGM,0,1)+OFFSET(VTA,0,1)+OFFSET(SFZ,0,1)+OFFSET(RIK,0,1)+OFFSET(S4X,0,1)</f>
        <v>3.5999999999999996</v>
      </c>
    </row>
    <row r="48" spans="1:6">
      <c r="A48" s="164" t="s">
        <v>88</v>
      </c>
      <c r="B48">
        <f ca="1">+OFFSET(VAV,0,1)+OFFSET(RIB,0,1)</f>
        <v>0.30000000000000004</v>
      </c>
    </row>
    <row r="49" spans="1:22">
      <c r="A49" s="164" t="s">
        <v>373</v>
      </c>
      <c r="B49">
        <f ca="1">+OFFSET(_R88,0,1)+OFFSET(RIK,0,1)</f>
        <v>2</v>
      </c>
    </row>
    <row r="50" spans="1:22">
      <c r="A50" s="164" t="s">
        <v>25</v>
      </c>
      <c r="B50">
        <f ca="1">+OFFSET(S3I,0,1)+OFFSET(S0M,0,1)+OFFSET(_5Ru,0,1)</f>
        <v>1.7000000000000002</v>
      </c>
    </row>
    <row r="60" spans="1:22">
      <c r="V60" s="28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C00000"/>
    <pageSetUpPr fitToPage="1"/>
  </sheetPr>
  <dimension ref="A1:V60"/>
  <sheetViews>
    <sheetView zoomScale="90" zoomScaleNormal="9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RowHeight="15"/>
  <cols>
    <col min="1" max="1" width="8.7109375" style="60" customWidth="1"/>
    <col min="2" max="2" width="67.85546875" style="66" customWidth="1"/>
    <col min="3" max="4" width="12.7109375" style="14" customWidth="1"/>
    <col min="5" max="5" width="12.7109375" style="15" customWidth="1"/>
    <col min="6" max="6" width="12.7109375" style="9" customWidth="1"/>
    <col min="7" max="7" width="12.7109375" style="14" customWidth="1"/>
    <col min="8" max="8" width="12.7109375" style="16" customWidth="1"/>
    <col min="9" max="9" width="12.7109375" style="2" customWidth="1"/>
    <col min="10" max="10" width="7.28515625" customWidth="1"/>
    <col min="11" max="11" width="28.140625" customWidth="1"/>
  </cols>
  <sheetData>
    <row r="1" spans="1:12" ht="24" thickBot="1">
      <c r="A1" s="310" t="s">
        <v>389</v>
      </c>
      <c r="B1" s="310"/>
      <c r="C1" s="310"/>
      <c r="D1" s="310"/>
      <c r="E1" s="310"/>
      <c r="F1" s="310"/>
      <c r="G1" s="310"/>
      <c r="H1" s="310"/>
      <c r="I1" s="311"/>
    </row>
    <row r="2" spans="1:12" ht="30" customHeight="1" thickBot="1">
      <c r="A2" s="57"/>
      <c r="B2" s="78"/>
      <c r="C2" s="58"/>
      <c r="D2" s="58"/>
      <c r="E2" s="58"/>
      <c r="F2" s="58"/>
      <c r="G2" s="58"/>
      <c r="H2" s="58"/>
      <c r="I2" s="59"/>
    </row>
    <row r="3" spans="1:12" ht="24" thickBot="1">
      <c r="A3" s="315"/>
      <c r="B3" s="316"/>
      <c r="C3" s="312" t="s">
        <v>170</v>
      </c>
      <c r="D3" s="314"/>
      <c r="E3" s="313"/>
      <c r="F3" s="314" t="s">
        <v>171</v>
      </c>
      <c r="G3" s="313"/>
      <c r="H3" s="312" t="s">
        <v>172</v>
      </c>
      <c r="I3" s="313"/>
    </row>
    <row r="4" spans="1:12" ht="45.75" thickBot="1">
      <c r="A4" s="33" t="s">
        <v>0</v>
      </c>
      <c r="B4" s="31" t="s">
        <v>1</v>
      </c>
      <c r="C4" s="71" t="s">
        <v>3</v>
      </c>
      <c r="D4" s="72" t="s">
        <v>4</v>
      </c>
      <c r="E4" s="37" t="s">
        <v>6</v>
      </c>
      <c r="F4" s="25" t="s">
        <v>2</v>
      </c>
      <c r="G4" s="38" t="s">
        <v>5</v>
      </c>
      <c r="H4" s="39" t="s">
        <v>7</v>
      </c>
      <c r="I4" s="26" t="s">
        <v>8</v>
      </c>
    </row>
    <row r="5" spans="1:12" ht="17.100000000000001" customHeight="1" thickBot="1">
      <c r="A5" s="216" t="s">
        <v>78</v>
      </c>
      <c r="B5" s="156" t="s">
        <v>385</v>
      </c>
      <c r="C5" s="120">
        <v>1501.5</v>
      </c>
      <c r="D5" s="120">
        <v>1650</v>
      </c>
      <c r="E5" s="73">
        <f>D5-C5</f>
        <v>148.5</v>
      </c>
      <c r="F5" s="54">
        <f ca="1">_xlfn.XLOOKUP(A5,'Sierra LD Ref'!A:A,'Sierra LD Ref'!B:B,"")</f>
        <v>2.6</v>
      </c>
      <c r="G5" s="75">
        <f t="shared" ref="G5:G51" ca="1" si="0">(F5*Labor)*SvcGross</f>
        <v>341.25</v>
      </c>
      <c r="H5" s="36">
        <f ca="1">G5+E5</f>
        <v>489.75</v>
      </c>
      <c r="I5" s="77">
        <f ca="1">H5/C5</f>
        <v>0.32617382617382618</v>
      </c>
    </row>
    <row r="6" spans="1:12" ht="16.5" thickBot="1">
      <c r="A6" s="216" t="s">
        <v>57</v>
      </c>
      <c r="B6" s="156" t="s">
        <v>386</v>
      </c>
      <c r="C6" s="120">
        <v>450.45</v>
      </c>
      <c r="D6" s="120">
        <v>495</v>
      </c>
      <c r="E6" s="73">
        <f>D6-C6</f>
        <v>44.550000000000011</v>
      </c>
      <c r="F6" s="54">
        <f ca="1">_xlfn.XLOOKUP(A6,'Sierra LD Ref'!A:A,'Sierra LD Ref'!B:B,"")</f>
        <v>1.1000000000000001</v>
      </c>
      <c r="G6" s="76">
        <f t="shared" ca="1" si="0"/>
        <v>144.37500000000003</v>
      </c>
      <c r="H6" s="40">
        <f t="shared" ref="H6" ca="1" si="1">G6+E6</f>
        <v>188.92500000000004</v>
      </c>
      <c r="I6" s="77">
        <f ca="1">H6/C6</f>
        <v>0.41941391941391953</v>
      </c>
      <c r="K6" s="30"/>
      <c r="L6" s="30"/>
    </row>
    <row r="7" spans="1:12" ht="16.5" thickBot="1">
      <c r="A7" s="216" t="s">
        <v>331</v>
      </c>
      <c r="B7" s="156" t="s">
        <v>387</v>
      </c>
      <c r="C7" s="120">
        <v>541.45000000000005</v>
      </c>
      <c r="D7" s="120">
        <v>595</v>
      </c>
      <c r="E7" s="73">
        <f>D7-C7</f>
        <v>53.549999999999955</v>
      </c>
      <c r="F7" s="54">
        <f ca="1">_xlfn.XLOOKUP(A7,'Sierra LD Ref'!A:A,'Sierra LD Ref'!B:B,"")</f>
        <v>0.5</v>
      </c>
      <c r="G7" s="74">
        <f t="shared" ca="1" si="0"/>
        <v>65.625</v>
      </c>
      <c r="H7" s="34">
        <f ca="1">G7+E7</f>
        <v>119.17499999999995</v>
      </c>
      <c r="I7" s="77">
        <f ca="1">H7/C7</f>
        <v>0.22010342598577881</v>
      </c>
    </row>
    <row r="8" spans="1:12" ht="16.5" thickBot="1">
      <c r="A8" s="207" t="s">
        <v>119</v>
      </c>
      <c r="B8" s="154" t="s">
        <v>325</v>
      </c>
      <c r="C8" s="163">
        <v>3544.45</v>
      </c>
      <c r="D8" s="163">
        <v>3895</v>
      </c>
      <c r="E8" s="73">
        <f>D8-C8</f>
        <v>350.55000000000018</v>
      </c>
      <c r="F8" s="54">
        <f>_xlfn.XLOOKUP(A8,'Sierra LD Ref'!A:A,'Sierra LD Ref'!B:B,"")</f>
        <v>4.5999999999999996</v>
      </c>
      <c r="G8" s="74">
        <f t="shared" si="0"/>
        <v>603.74999999999989</v>
      </c>
      <c r="H8" s="34">
        <f t="shared" ref="H8:H14" si="2">G8+E8</f>
        <v>954.30000000000007</v>
      </c>
      <c r="I8" s="77">
        <f>H8/C8</f>
        <v>0.26923782251125</v>
      </c>
    </row>
    <row r="9" spans="1:12" ht="16.5" thickBot="1">
      <c r="A9" s="207" t="s">
        <v>35</v>
      </c>
      <c r="B9" s="154" t="s">
        <v>326</v>
      </c>
      <c r="C9" s="163">
        <v>541.45000000000005</v>
      </c>
      <c r="D9" s="163">
        <v>595</v>
      </c>
      <c r="E9" s="73">
        <f t="shared" ref="E9:E51" si="3">D9-C9</f>
        <v>53.549999999999955</v>
      </c>
      <c r="F9" s="54">
        <f>_xlfn.XLOOKUP(A9,'Sierra LD Ref'!A:A,'Sierra LD Ref'!B:B,"")</f>
        <v>0.5</v>
      </c>
      <c r="G9" s="74">
        <f t="shared" si="0"/>
        <v>65.625</v>
      </c>
      <c r="H9" s="41">
        <f t="shared" si="2"/>
        <v>119.17499999999995</v>
      </c>
      <c r="I9" s="77">
        <f t="shared" ref="I9:I51" si="4">H9/C9</f>
        <v>0.22010342598577881</v>
      </c>
    </row>
    <row r="10" spans="1:12" ht="17.100000000000001" customHeight="1" thickBot="1">
      <c r="A10" s="207" t="s">
        <v>100</v>
      </c>
      <c r="B10" s="154" t="s">
        <v>327</v>
      </c>
      <c r="C10" s="163">
        <v>113.75</v>
      </c>
      <c r="D10" s="163">
        <v>125</v>
      </c>
      <c r="E10" s="73">
        <f t="shared" si="3"/>
        <v>11.25</v>
      </c>
      <c r="F10" s="54">
        <f>_xlfn.XLOOKUP(A10,'Sierra LD Ref'!A:A,'Sierra LD Ref'!B:B,"")</f>
        <v>0.1</v>
      </c>
      <c r="G10" s="74">
        <f t="shared" si="0"/>
        <v>13.125</v>
      </c>
      <c r="H10" s="41">
        <f t="shared" si="2"/>
        <v>24.375</v>
      </c>
      <c r="I10" s="77">
        <f t="shared" si="4"/>
        <v>0.21428571428571427</v>
      </c>
    </row>
    <row r="11" spans="1:12" ht="17.100000000000001" customHeight="1" thickBot="1">
      <c r="A11" s="207" t="s">
        <v>45</v>
      </c>
      <c r="B11" s="154" t="s">
        <v>328</v>
      </c>
      <c r="C11" s="163">
        <v>227.5</v>
      </c>
      <c r="D11" s="163">
        <v>250</v>
      </c>
      <c r="E11" s="73">
        <f t="shared" si="3"/>
        <v>22.5</v>
      </c>
      <c r="F11" s="54">
        <f>_xlfn.XLOOKUP(A11,'Sierra LD Ref'!A:A,'Sierra LD Ref'!B:B,"")</f>
        <v>0.5</v>
      </c>
      <c r="G11" s="74">
        <f t="shared" si="0"/>
        <v>65.625</v>
      </c>
      <c r="H11" s="41">
        <f t="shared" si="2"/>
        <v>88.125</v>
      </c>
      <c r="I11" s="77">
        <f t="shared" si="4"/>
        <v>0.38736263736263737</v>
      </c>
    </row>
    <row r="12" spans="1:12" ht="17.100000000000001" customHeight="1" thickBot="1">
      <c r="A12" s="207" t="s">
        <v>47</v>
      </c>
      <c r="B12" s="154" t="s">
        <v>77</v>
      </c>
      <c r="C12" s="163">
        <v>268.45</v>
      </c>
      <c r="D12" s="163">
        <v>295</v>
      </c>
      <c r="E12" s="73">
        <f t="shared" si="3"/>
        <v>26.550000000000011</v>
      </c>
      <c r="F12" s="54">
        <f>_xlfn.XLOOKUP(A12,'Sierra LD Ref'!A:A,'Sierra LD Ref'!B:B,"")</f>
        <v>0.2</v>
      </c>
      <c r="G12" s="74">
        <f t="shared" si="0"/>
        <v>26.25</v>
      </c>
      <c r="H12" s="41">
        <f t="shared" si="2"/>
        <v>52.800000000000011</v>
      </c>
      <c r="I12" s="77">
        <f t="shared" si="4"/>
        <v>0.1966846712609425</v>
      </c>
    </row>
    <row r="13" spans="1:12" ht="17.100000000000001" customHeight="1" thickBot="1">
      <c r="A13" s="207" t="s">
        <v>173</v>
      </c>
      <c r="B13" s="154" t="s">
        <v>329</v>
      </c>
      <c r="C13" s="163">
        <v>3503.5</v>
      </c>
      <c r="D13" s="163">
        <v>3850</v>
      </c>
      <c r="E13" s="73">
        <f t="shared" si="3"/>
        <v>346.5</v>
      </c>
      <c r="F13" s="54">
        <f>_xlfn.XLOOKUP(A13,'Sierra LD Ref'!A:A,'Sierra LD Ref'!B:B,"")</f>
        <v>0.8</v>
      </c>
      <c r="G13" s="74">
        <f t="shared" si="0"/>
        <v>105</v>
      </c>
      <c r="H13" s="41">
        <f t="shared" si="2"/>
        <v>451.5</v>
      </c>
      <c r="I13" s="77">
        <f t="shared" si="4"/>
        <v>0.12887112887112886</v>
      </c>
    </row>
    <row r="14" spans="1:12" ht="17.100000000000001" customHeight="1" thickBot="1">
      <c r="A14" s="207" t="s">
        <v>102</v>
      </c>
      <c r="B14" s="154" t="s">
        <v>330</v>
      </c>
      <c r="C14" s="163">
        <v>1269.45</v>
      </c>
      <c r="D14" s="163">
        <v>1395</v>
      </c>
      <c r="E14" s="73">
        <f t="shared" si="3"/>
        <v>125.54999999999995</v>
      </c>
      <c r="F14" s="54">
        <f>_xlfn.XLOOKUP(A14,'Sierra LD Ref'!A:A,'Sierra LD Ref'!B:B,"")</f>
        <v>0.6</v>
      </c>
      <c r="G14" s="74">
        <f t="shared" si="0"/>
        <v>78.75</v>
      </c>
      <c r="H14" s="41">
        <f t="shared" si="2"/>
        <v>204.29999999999995</v>
      </c>
      <c r="I14" s="77">
        <f t="shared" si="4"/>
        <v>0.16093583835519315</v>
      </c>
    </row>
    <row r="15" spans="1:12" s="19" customFormat="1" ht="17.25" customHeight="1" thickBot="1">
      <c r="A15" s="207" t="s">
        <v>11</v>
      </c>
      <c r="B15" s="154" t="s">
        <v>332</v>
      </c>
      <c r="C15" s="163">
        <v>814.45</v>
      </c>
      <c r="D15" s="163">
        <v>895</v>
      </c>
      <c r="E15" s="73">
        <f t="shared" si="3"/>
        <v>80.549999999999955</v>
      </c>
      <c r="F15" s="54">
        <f>_xlfn.XLOOKUP(A15,'Sierra LD Ref'!A:A,'Sierra LD Ref'!B:B,"")</f>
        <v>1</v>
      </c>
      <c r="G15" s="74">
        <f t="shared" si="0"/>
        <v>131.25</v>
      </c>
      <c r="H15" s="40">
        <f t="shared" ref="H15:H19" si="5">G15+E15</f>
        <v>211.79999999999995</v>
      </c>
      <c r="I15" s="77">
        <f t="shared" si="4"/>
        <v>0.26005279636564543</v>
      </c>
    </row>
    <row r="16" spans="1:12" ht="16.5" thickBot="1">
      <c r="A16" s="207" t="s">
        <v>36</v>
      </c>
      <c r="B16" s="154" t="s">
        <v>333</v>
      </c>
      <c r="C16" s="163">
        <v>241.15</v>
      </c>
      <c r="D16" s="163">
        <v>265</v>
      </c>
      <c r="E16" s="73">
        <f t="shared" si="3"/>
        <v>23.849999999999994</v>
      </c>
      <c r="F16" s="54">
        <f>_xlfn.XLOOKUP(A16,'Sierra LD Ref'!A:A,'Sierra LD Ref'!B:B,"")</f>
        <v>0.1</v>
      </c>
      <c r="G16" s="74">
        <f t="shared" si="0"/>
        <v>13.125</v>
      </c>
      <c r="H16" s="40">
        <f t="shared" si="5"/>
        <v>36.974999999999994</v>
      </c>
      <c r="I16" s="77">
        <f t="shared" si="4"/>
        <v>0.15332780427120046</v>
      </c>
    </row>
    <row r="17" spans="1:9" ht="17.100000000000001" customHeight="1" thickBot="1">
      <c r="A17" s="207" t="s">
        <v>248</v>
      </c>
      <c r="B17" s="154" t="s">
        <v>334</v>
      </c>
      <c r="C17" s="163">
        <v>477.75</v>
      </c>
      <c r="D17" s="163">
        <v>525</v>
      </c>
      <c r="E17" s="73">
        <f t="shared" si="3"/>
        <v>47.25</v>
      </c>
      <c r="F17" s="54">
        <f>_xlfn.XLOOKUP(A17,'Sierra LD Ref'!A:A,'Sierra LD Ref'!B:B,"")</f>
        <v>0.5</v>
      </c>
      <c r="G17" s="74">
        <f t="shared" si="0"/>
        <v>65.625</v>
      </c>
      <c r="H17" s="41">
        <f t="shared" si="5"/>
        <v>112.875</v>
      </c>
      <c r="I17" s="77">
        <f t="shared" si="4"/>
        <v>0.23626373626373626</v>
      </c>
    </row>
    <row r="18" spans="1:9" ht="17.100000000000001" customHeight="1" thickBot="1">
      <c r="A18" s="207" t="s">
        <v>104</v>
      </c>
      <c r="B18" s="154" t="s">
        <v>335</v>
      </c>
      <c r="C18" s="163">
        <v>1178.45</v>
      </c>
      <c r="D18" s="163">
        <v>1295</v>
      </c>
      <c r="E18" s="73">
        <f t="shared" si="3"/>
        <v>116.54999999999995</v>
      </c>
      <c r="F18" s="54">
        <f>_xlfn.XLOOKUP(A18,'Sierra LD Ref'!A:A,'Sierra LD Ref'!B:B,"")</f>
        <v>0.3</v>
      </c>
      <c r="G18" s="74">
        <f t="shared" si="0"/>
        <v>39.375</v>
      </c>
      <c r="H18" s="41">
        <f t="shared" si="5"/>
        <v>155.92499999999995</v>
      </c>
      <c r="I18" s="77">
        <f t="shared" si="4"/>
        <v>0.13231363231363227</v>
      </c>
    </row>
    <row r="19" spans="1:9" ht="17.100000000000001" customHeight="1" thickBot="1">
      <c r="A19" s="207" t="s">
        <v>37</v>
      </c>
      <c r="B19" s="154" t="s">
        <v>320</v>
      </c>
      <c r="C19" s="163">
        <v>773.5</v>
      </c>
      <c r="D19" s="163">
        <v>850</v>
      </c>
      <c r="E19" s="73">
        <f t="shared" si="3"/>
        <v>76.5</v>
      </c>
      <c r="F19" s="54">
        <f>_xlfn.XLOOKUP(A19,'Sierra LD Ref'!A:A,'Sierra LD Ref'!B:B,"")</f>
        <v>0.4</v>
      </c>
      <c r="G19" s="74">
        <f t="shared" si="0"/>
        <v>52.5</v>
      </c>
      <c r="H19" s="41">
        <f t="shared" si="5"/>
        <v>129</v>
      </c>
      <c r="I19" s="77">
        <f t="shared" si="4"/>
        <v>0.16677440206851971</v>
      </c>
    </row>
    <row r="20" spans="1:9" ht="17.100000000000001" customHeight="1" thickBot="1">
      <c r="A20" s="207" t="s">
        <v>38</v>
      </c>
      <c r="B20" s="154" t="s">
        <v>336</v>
      </c>
      <c r="C20" s="163">
        <v>773.5</v>
      </c>
      <c r="D20" s="163">
        <v>850</v>
      </c>
      <c r="E20" s="73">
        <f t="shared" si="3"/>
        <v>76.5</v>
      </c>
      <c r="F20" s="54">
        <f>_xlfn.XLOOKUP(A20,'Sierra LD Ref'!A:A,'Sierra LD Ref'!B:B,"")</f>
        <v>0.4</v>
      </c>
      <c r="G20" s="74">
        <f t="shared" si="0"/>
        <v>52.5</v>
      </c>
      <c r="H20" s="40">
        <f t="shared" ref="H20:H51" si="6">G20+E20</f>
        <v>129</v>
      </c>
      <c r="I20" s="77">
        <f t="shared" si="4"/>
        <v>0.16677440206851971</v>
      </c>
    </row>
    <row r="21" spans="1:9" ht="16.5" thickBot="1">
      <c r="A21" s="207" t="s">
        <v>93</v>
      </c>
      <c r="B21" s="154" t="s">
        <v>299</v>
      </c>
      <c r="C21" s="163">
        <v>295.75</v>
      </c>
      <c r="D21" s="163">
        <v>325</v>
      </c>
      <c r="E21" s="73">
        <f t="shared" si="3"/>
        <v>29.25</v>
      </c>
      <c r="F21" s="54">
        <f>_xlfn.XLOOKUP(A21,'Sierra LD Ref'!A:A,'Sierra LD Ref'!B:B,"")</f>
        <v>0.3</v>
      </c>
      <c r="G21" s="74">
        <f t="shared" si="0"/>
        <v>39.375</v>
      </c>
      <c r="H21" s="40">
        <f t="shared" si="6"/>
        <v>68.625</v>
      </c>
      <c r="I21" s="77">
        <f t="shared" si="4"/>
        <v>0.23203719357565511</v>
      </c>
    </row>
    <row r="22" spans="1:9" ht="16.5" thickBot="1">
      <c r="A22" s="207" t="s">
        <v>90</v>
      </c>
      <c r="B22" s="154" t="s">
        <v>300</v>
      </c>
      <c r="C22" s="163">
        <v>177.45</v>
      </c>
      <c r="D22" s="163">
        <v>195</v>
      </c>
      <c r="E22" s="73">
        <f t="shared" si="3"/>
        <v>17.550000000000011</v>
      </c>
      <c r="F22" s="54">
        <f>_xlfn.XLOOKUP(A22,'Sierra LD Ref'!A:A,'Sierra LD Ref'!B:B,"")</f>
        <v>0.1</v>
      </c>
      <c r="G22" s="76">
        <f t="shared" si="0"/>
        <v>13.125</v>
      </c>
      <c r="H22" s="35">
        <f t="shared" si="6"/>
        <v>30.675000000000011</v>
      </c>
      <c r="I22" s="77">
        <f t="shared" si="4"/>
        <v>0.1728655959425191</v>
      </c>
    </row>
    <row r="23" spans="1:9" ht="16.5" thickBot="1">
      <c r="A23" s="207" t="s">
        <v>50</v>
      </c>
      <c r="B23" s="154" t="s">
        <v>301</v>
      </c>
      <c r="C23" s="163">
        <v>996.45</v>
      </c>
      <c r="D23" s="163">
        <v>1095</v>
      </c>
      <c r="E23" s="73">
        <f t="shared" si="3"/>
        <v>98.549999999999955</v>
      </c>
      <c r="F23" s="54">
        <f>_xlfn.XLOOKUP(A23,'Sierra LD Ref'!A:A,'Sierra LD Ref'!B:B,"")</f>
        <v>0.5</v>
      </c>
      <c r="G23" s="76">
        <f t="shared" si="0"/>
        <v>65.625</v>
      </c>
      <c r="H23" s="35">
        <f t="shared" si="6"/>
        <v>164.17499999999995</v>
      </c>
      <c r="I23" s="77">
        <f t="shared" si="4"/>
        <v>0.16475989763660992</v>
      </c>
    </row>
    <row r="24" spans="1:9" ht="16.5" thickBot="1">
      <c r="A24" s="207" t="s">
        <v>111</v>
      </c>
      <c r="B24" s="154" t="s">
        <v>302</v>
      </c>
      <c r="C24" s="163">
        <v>887.25</v>
      </c>
      <c r="D24" s="163">
        <v>975</v>
      </c>
      <c r="E24" s="73">
        <f t="shared" si="3"/>
        <v>87.75</v>
      </c>
      <c r="F24" s="54">
        <f>_xlfn.XLOOKUP(A24,'Sierra LD Ref'!A:A,'Sierra LD Ref'!B:B,"")</f>
        <v>1</v>
      </c>
      <c r="G24" s="76">
        <f t="shared" si="0"/>
        <v>131.25</v>
      </c>
      <c r="H24" s="35">
        <f t="shared" si="6"/>
        <v>219</v>
      </c>
      <c r="I24" s="77">
        <f t="shared" si="4"/>
        <v>0.24683009298393913</v>
      </c>
    </row>
    <row r="25" spans="1:9" ht="16.5" thickBot="1">
      <c r="A25" s="207" t="s">
        <v>46</v>
      </c>
      <c r="B25" s="154" t="s">
        <v>303</v>
      </c>
      <c r="C25" s="163">
        <v>1542.45</v>
      </c>
      <c r="D25" s="163">
        <v>1695</v>
      </c>
      <c r="E25" s="73">
        <f t="shared" si="3"/>
        <v>152.54999999999995</v>
      </c>
      <c r="F25" s="54">
        <f>_xlfn.XLOOKUP(A25,'Sierra LD Ref'!A:A,'Sierra LD Ref'!B:B,"")</f>
        <v>3.3</v>
      </c>
      <c r="G25" s="76">
        <f t="shared" si="0"/>
        <v>433.125</v>
      </c>
      <c r="H25" s="35">
        <f t="shared" si="6"/>
        <v>585.67499999999995</v>
      </c>
      <c r="I25" s="77">
        <f t="shared" si="4"/>
        <v>0.37970436643003008</v>
      </c>
    </row>
    <row r="26" spans="1:9" ht="16.5" thickBot="1">
      <c r="A26" s="207" t="s">
        <v>18</v>
      </c>
      <c r="B26" s="154" t="s">
        <v>28</v>
      </c>
      <c r="C26" s="163">
        <v>177.45</v>
      </c>
      <c r="D26" s="163">
        <v>195</v>
      </c>
      <c r="E26" s="73">
        <f t="shared" si="3"/>
        <v>17.550000000000011</v>
      </c>
      <c r="F26" s="54">
        <f>_xlfn.XLOOKUP(A26,'Sierra LD Ref'!A:A,'Sierra LD Ref'!B:B,"")</f>
        <v>0.4</v>
      </c>
      <c r="G26" s="76">
        <f t="shared" si="0"/>
        <v>52.5</v>
      </c>
      <c r="H26" s="35">
        <f t="shared" si="6"/>
        <v>70.050000000000011</v>
      </c>
      <c r="I26" s="77">
        <f t="shared" si="4"/>
        <v>0.39475908706677948</v>
      </c>
    </row>
    <row r="27" spans="1:9" ht="16.5" thickBot="1">
      <c r="A27" s="207" t="s">
        <v>163</v>
      </c>
      <c r="B27" s="154" t="s">
        <v>178</v>
      </c>
      <c r="C27" s="163">
        <v>3139.5</v>
      </c>
      <c r="D27" s="163">
        <v>3450</v>
      </c>
      <c r="E27" s="73">
        <f t="shared" si="3"/>
        <v>310.5</v>
      </c>
      <c r="F27" s="54">
        <f>_xlfn.XLOOKUP(A27,'Sierra LD Ref'!A:A,'Sierra LD Ref'!B:B,"")</f>
        <v>0.8</v>
      </c>
      <c r="G27" s="76">
        <f t="shared" si="0"/>
        <v>105</v>
      </c>
      <c r="H27" s="35">
        <f t="shared" si="6"/>
        <v>415.5</v>
      </c>
      <c r="I27" s="77">
        <f t="shared" si="4"/>
        <v>0.13234591495461059</v>
      </c>
    </row>
    <row r="28" spans="1:9" ht="16.5" thickBot="1">
      <c r="A28" s="207" t="s">
        <v>179</v>
      </c>
      <c r="B28" s="154" t="s">
        <v>304</v>
      </c>
      <c r="C28" s="163">
        <v>2866.5</v>
      </c>
      <c r="D28" s="163">
        <v>3150</v>
      </c>
      <c r="E28" s="73">
        <f t="shared" si="3"/>
        <v>283.5</v>
      </c>
      <c r="F28" s="54">
        <f>_xlfn.XLOOKUP(A28,'Sierra LD Ref'!A:A,'Sierra LD Ref'!B:B,"")</f>
        <v>0.8</v>
      </c>
      <c r="G28" s="76">
        <f t="shared" si="0"/>
        <v>105</v>
      </c>
      <c r="H28" s="35">
        <f t="shared" si="6"/>
        <v>388.5</v>
      </c>
      <c r="I28" s="77">
        <f t="shared" si="4"/>
        <v>0.13553113553113552</v>
      </c>
    </row>
    <row r="29" spans="1:9" ht="16.5" thickBot="1">
      <c r="A29" s="207" t="s">
        <v>53</v>
      </c>
      <c r="B29" s="154" t="s">
        <v>180</v>
      </c>
      <c r="C29" s="163">
        <v>3321.5</v>
      </c>
      <c r="D29" s="163">
        <v>3650</v>
      </c>
      <c r="E29" s="73">
        <f t="shared" si="3"/>
        <v>328.5</v>
      </c>
      <c r="F29" s="54">
        <f>_xlfn.XLOOKUP(A29,'Sierra LD Ref'!A:A,'Sierra LD Ref'!B:B,"")</f>
        <v>0.8</v>
      </c>
      <c r="G29" s="76">
        <f t="shared" si="0"/>
        <v>105</v>
      </c>
      <c r="H29" s="35">
        <f t="shared" si="6"/>
        <v>433.5</v>
      </c>
      <c r="I29" s="77">
        <f t="shared" si="4"/>
        <v>0.13051332229414422</v>
      </c>
    </row>
    <row r="30" spans="1:9" ht="14.45" customHeight="1" thickBot="1">
      <c r="A30" s="207" t="s">
        <v>305</v>
      </c>
      <c r="B30" s="154" t="s">
        <v>306</v>
      </c>
      <c r="C30" s="163">
        <v>905.45</v>
      </c>
      <c r="D30" s="163">
        <v>995</v>
      </c>
      <c r="E30" s="73">
        <f t="shared" si="3"/>
        <v>89.549999999999955</v>
      </c>
      <c r="F30" s="54">
        <f>_xlfn.XLOOKUP(A30,'Sierra LD Ref'!A:A,'Sierra LD Ref'!B:B,"")</f>
        <v>0.4</v>
      </c>
      <c r="G30" s="76">
        <f t="shared" si="0"/>
        <v>52.5</v>
      </c>
      <c r="H30" s="35">
        <f t="shared" si="6"/>
        <v>142.04999999999995</v>
      </c>
      <c r="I30" s="77">
        <f t="shared" si="4"/>
        <v>0.15688331768733774</v>
      </c>
    </row>
    <row r="31" spans="1:9" ht="14.45" customHeight="1" thickBot="1">
      <c r="A31" s="207" t="s">
        <v>15</v>
      </c>
      <c r="B31" s="154" t="s">
        <v>307</v>
      </c>
      <c r="C31" s="163">
        <v>113.75</v>
      </c>
      <c r="D31" s="163">
        <v>125</v>
      </c>
      <c r="E31" s="73">
        <f t="shared" si="3"/>
        <v>11.25</v>
      </c>
      <c r="F31" s="54">
        <f>_xlfn.XLOOKUP(A31,'Sierra LD Ref'!A:A,'Sierra LD Ref'!B:B,"")</f>
        <v>0.1</v>
      </c>
      <c r="G31" s="76">
        <f t="shared" si="0"/>
        <v>13.125</v>
      </c>
      <c r="H31" s="35">
        <f t="shared" si="6"/>
        <v>24.375</v>
      </c>
      <c r="I31" s="77">
        <f t="shared" si="4"/>
        <v>0.21428571428571427</v>
      </c>
    </row>
    <row r="32" spans="1:9" ht="16.5" thickBot="1">
      <c r="A32" s="207" t="s">
        <v>181</v>
      </c>
      <c r="B32" s="154" t="s">
        <v>308</v>
      </c>
      <c r="C32" s="163">
        <v>3139.5</v>
      </c>
      <c r="D32" s="163">
        <v>3450</v>
      </c>
      <c r="E32" s="73">
        <f t="shared" si="3"/>
        <v>310.5</v>
      </c>
      <c r="F32" s="54">
        <f>_xlfn.XLOOKUP(A32,'Sierra LD Ref'!A:A,'Sierra LD Ref'!B:B,"")</f>
        <v>0.8</v>
      </c>
      <c r="G32" s="76">
        <f t="shared" si="0"/>
        <v>105</v>
      </c>
      <c r="H32" s="35">
        <f t="shared" si="6"/>
        <v>415.5</v>
      </c>
      <c r="I32" s="77">
        <f t="shared" si="4"/>
        <v>0.13234591495461059</v>
      </c>
    </row>
    <row r="33" spans="1:9" ht="16.5" thickBot="1">
      <c r="A33" s="207" t="s">
        <v>12</v>
      </c>
      <c r="B33" s="154" t="s">
        <v>251</v>
      </c>
      <c r="C33" s="163">
        <v>268.45</v>
      </c>
      <c r="D33" s="163">
        <v>295</v>
      </c>
      <c r="E33" s="73">
        <f t="shared" si="3"/>
        <v>26.550000000000011</v>
      </c>
      <c r="F33" s="54">
        <f>_xlfn.XLOOKUP(A33,'Sierra LD Ref'!A:A,'Sierra LD Ref'!B:B,"")</f>
        <v>0.5</v>
      </c>
      <c r="G33" s="76">
        <f t="shared" si="0"/>
        <v>65.625</v>
      </c>
      <c r="H33" s="35">
        <f t="shared" si="6"/>
        <v>92.175000000000011</v>
      </c>
      <c r="I33" s="77">
        <f t="shared" si="4"/>
        <v>0.34336002980070784</v>
      </c>
    </row>
    <row r="34" spans="1:9" ht="16.5" thickBot="1">
      <c r="A34" s="207" t="s">
        <v>52</v>
      </c>
      <c r="B34" s="154" t="s">
        <v>182</v>
      </c>
      <c r="C34" s="163">
        <v>2816.45</v>
      </c>
      <c r="D34" s="163">
        <v>3095</v>
      </c>
      <c r="E34" s="73">
        <f t="shared" si="3"/>
        <v>278.55000000000018</v>
      </c>
      <c r="F34" s="54">
        <f>_xlfn.XLOOKUP(A34,'Sierra LD Ref'!A:A,'Sierra LD Ref'!B:B,"")</f>
        <v>0.8</v>
      </c>
      <c r="G34" s="76">
        <f t="shared" si="0"/>
        <v>105</v>
      </c>
      <c r="H34" s="35">
        <f t="shared" si="6"/>
        <v>383.55000000000018</v>
      </c>
      <c r="I34" s="77">
        <f t="shared" si="4"/>
        <v>0.13618207317722672</v>
      </c>
    </row>
    <row r="35" spans="1:9" ht="16.5" thickBot="1">
      <c r="A35" s="207" t="s">
        <v>128</v>
      </c>
      <c r="B35" s="154" t="s">
        <v>309</v>
      </c>
      <c r="C35" s="163">
        <v>682.5</v>
      </c>
      <c r="D35" s="163">
        <v>750</v>
      </c>
      <c r="E35" s="73">
        <f t="shared" si="3"/>
        <v>67.5</v>
      </c>
      <c r="F35" s="54">
        <f>_xlfn.XLOOKUP(A35,'Sierra LD Ref'!A:A,'Sierra LD Ref'!B:B,"")</f>
        <v>0.6</v>
      </c>
      <c r="G35" s="76">
        <f t="shared" si="0"/>
        <v>78.75</v>
      </c>
      <c r="H35" s="35">
        <f t="shared" si="6"/>
        <v>146.25</v>
      </c>
      <c r="I35" s="77">
        <f t="shared" si="4"/>
        <v>0.21428571428571427</v>
      </c>
    </row>
    <row r="36" spans="1:9" ht="16.5" thickBot="1">
      <c r="A36" s="207" t="s">
        <v>94</v>
      </c>
      <c r="B36" s="154" t="s">
        <v>310</v>
      </c>
      <c r="C36" s="163">
        <v>3139.5</v>
      </c>
      <c r="D36" s="163">
        <v>3450</v>
      </c>
      <c r="E36" s="73">
        <f t="shared" si="3"/>
        <v>310.5</v>
      </c>
      <c r="F36" s="54">
        <f>_xlfn.XLOOKUP(A36,'Sierra LD Ref'!A:A,'Sierra LD Ref'!B:B,"")</f>
        <v>0.8</v>
      </c>
      <c r="G36" s="76">
        <f t="shared" si="0"/>
        <v>105</v>
      </c>
      <c r="H36" s="35">
        <f t="shared" si="6"/>
        <v>415.5</v>
      </c>
      <c r="I36" s="77">
        <f t="shared" si="4"/>
        <v>0.13234591495461059</v>
      </c>
    </row>
    <row r="37" spans="1:9" ht="16.5" thickBot="1">
      <c r="A37" s="207" t="s">
        <v>54</v>
      </c>
      <c r="B37" s="154" t="s">
        <v>311</v>
      </c>
      <c r="C37" s="163">
        <v>3139.5</v>
      </c>
      <c r="D37" s="163">
        <v>3450</v>
      </c>
      <c r="E37" s="73">
        <f t="shared" si="3"/>
        <v>310.5</v>
      </c>
      <c r="F37" s="54">
        <f>_xlfn.XLOOKUP(A37,'Sierra LD Ref'!A:A,'Sierra LD Ref'!B:B,"")</f>
        <v>0.8</v>
      </c>
      <c r="G37" s="76">
        <f t="shared" si="0"/>
        <v>105</v>
      </c>
      <c r="H37" s="35">
        <f t="shared" si="6"/>
        <v>415.5</v>
      </c>
      <c r="I37" s="77">
        <f t="shared" si="4"/>
        <v>0.13234591495461059</v>
      </c>
    </row>
    <row r="38" spans="1:9" ht="16.5" thickBot="1">
      <c r="A38" s="207" t="s">
        <v>312</v>
      </c>
      <c r="B38" s="154" t="s">
        <v>313</v>
      </c>
      <c r="C38" s="163">
        <v>3362.45</v>
      </c>
      <c r="D38" s="163">
        <v>3695</v>
      </c>
      <c r="E38" s="73">
        <f t="shared" si="3"/>
        <v>332.55000000000018</v>
      </c>
      <c r="F38" s="54">
        <f>_xlfn.XLOOKUP(A38,'Sierra LD Ref'!A:A,'Sierra LD Ref'!B:B,"")</f>
        <v>0.8</v>
      </c>
      <c r="G38" s="76">
        <f t="shared" si="0"/>
        <v>105</v>
      </c>
      <c r="H38" s="35">
        <f t="shared" si="6"/>
        <v>437.55000000000018</v>
      </c>
      <c r="I38" s="77">
        <f t="shared" si="4"/>
        <v>0.13012832904578514</v>
      </c>
    </row>
    <row r="39" spans="1:9" ht="16.5" thickBot="1">
      <c r="A39" s="207" t="s">
        <v>95</v>
      </c>
      <c r="B39" s="154" t="s">
        <v>314</v>
      </c>
      <c r="C39" s="163">
        <v>3503.5</v>
      </c>
      <c r="D39" s="163">
        <v>3850</v>
      </c>
      <c r="E39" s="73">
        <f t="shared" si="3"/>
        <v>346.5</v>
      </c>
      <c r="F39" s="54">
        <f>_xlfn.XLOOKUP(A39,'Sierra LD Ref'!A:A,'Sierra LD Ref'!B:B,"")</f>
        <v>0.8</v>
      </c>
      <c r="G39" s="76">
        <f t="shared" si="0"/>
        <v>105</v>
      </c>
      <c r="H39" s="35">
        <f t="shared" si="6"/>
        <v>451.5</v>
      </c>
      <c r="I39" s="77">
        <f t="shared" si="4"/>
        <v>0.12887112887112886</v>
      </c>
    </row>
    <row r="40" spans="1:9" ht="16.5" thickBot="1">
      <c r="A40" s="207" t="s">
        <v>55</v>
      </c>
      <c r="B40" s="154" t="s">
        <v>315</v>
      </c>
      <c r="C40" s="163">
        <v>614.25</v>
      </c>
      <c r="D40" s="163">
        <v>675</v>
      </c>
      <c r="E40" s="73">
        <f t="shared" si="3"/>
        <v>60.75</v>
      </c>
      <c r="F40" s="54">
        <f>_xlfn.XLOOKUP(A40,'Sierra LD Ref'!A:A,'Sierra LD Ref'!B:B,"")</f>
        <v>0.3</v>
      </c>
      <c r="G40" s="76">
        <f t="shared" si="0"/>
        <v>39.375</v>
      </c>
      <c r="H40" s="35">
        <f t="shared" si="6"/>
        <v>100.125</v>
      </c>
      <c r="I40" s="77">
        <f t="shared" si="4"/>
        <v>0.16300366300366301</v>
      </c>
    </row>
    <row r="41" spans="1:9" ht="14.45" customHeight="1" thickBot="1">
      <c r="A41" s="207" t="s">
        <v>51</v>
      </c>
      <c r="B41" s="154" t="s">
        <v>316</v>
      </c>
      <c r="C41" s="163">
        <v>268.45</v>
      </c>
      <c r="D41" s="163">
        <v>295</v>
      </c>
      <c r="E41" s="73">
        <f t="shared" si="3"/>
        <v>26.550000000000011</v>
      </c>
      <c r="F41" s="54">
        <f>_xlfn.XLOOKUP(A41,'Sierra LD Ref'!A:A,'Sierra LD Ref'!B:B,"")</f>
        <v>0.2</v>
      </c>
      <c r="G41" s="76">
        <f t="shared" si="0"/>
        <v>26.25</v>
      </c>
      <c r="H41" s="35">
        <f t="shared" si="6"/>
        <v>52.800000000000011</v>
      </c>
      <c r="I41" s="77">
        <f t="shared" si="4"/>
        <v>0.1966846712609425</v>
      </c>
    </row>
    <row r="42" spans="1:9" ht="16.5" thickBot="1">
      <c r="A42" s="207" t="s">
        <v>39</v>
      </c>
      <c r="B42" s="154" t="s">
        <v>317</v>
      </c>
      <c r="C42" s="163">
        <v>1137.5</v>
      </c>
      <c r="D42" s="163">
        <v>1250</v>
      </c>
      <c r="E42" s="73">
        <f t="shared" si="3"/>
        <v>112.5</v>
      </c>
      <c r="F42" s="54">
        <f>_xlfn.XLOOKUP(A42,'Sierra LD Ref'!A:A,'Sierra LD Ref'!B:B,"")</f>
        <v>0.5</v>
      </c>
      <c r="G42" s="76">
        <f t="shared" si="0"/>
        <v>65.625</v>
      </c>
      <c r="H42" s="35">
        <f t="shared" si="6"/>
        <v>178.125</v>
      </c>
      <c r="I42" s="77">
        <f t="shared" si="4"/>
        <v>0.15659340659340659</v>
      </c>
    </row>
    <row r="43" spans="1:9" ht="16.5" thickBot="1">
      <c r="A43" s="207" t="s">
        <v>10</v>
      </c>
      <c r="B43" s="154" t="s">
        <v>26</v>
      </c>
      <c r="C43" s="163">
        <v>295.75</v>
      </c>
      <c r="D43" s="163">
        <v>325</v>
      </c>
      <c r="E43" s="73">
        <f t="shared" si="3"/>
        <v>29.25</v>
      </c>
      <c r="F43" s="54">
        <f>_xlfn.XLOOKUP(A43,'Sierra LD Ref'!A:A,'Sierra LD Ref'!B:B,"")</f>
        <v>1</v>
      </c>
      <c r="G43" s="76">
        <f t="shared" si="0"/>
        <v>131.25</v>
      </c>
      <c r="H43" s="35">
        <f t="shared" si="6"/>
        <v>160.5</v>
      </c>
      <c r="I43" s="77">
        <f t="shared" si="4"/>
        <v>0.54268808114961964</v>
      </c>
    </row>
    <row r="44" spans="1:9" ht="16.5" thickBot="1">
      <c r="A44" s="207" t="s">
        <v>318</v>
      </c>
      <c r="B44" s="154" t="s">
        <v>319</v>
      </c>
      <c r="C44" s="163">
        <v>905.45</v>
      </c>
      <c r="D44" s="163">
        <v>995</v>
      </c>
      <c r="E44" s="73">
        <f t="shared" si="3"/>
        <v>89.549999999999955</v>
      </c>
      <c r="F44" s="54">
        <f>_xlfn.XLOOKUP(A44,'Sierra LD Ref'!A:A,'Sierra LD Ref'!B:B,"")</f>
        <v>0.4</v>
      </c>
      <c r="G44" s="76">
        <f t="shared" si="0"/>
        <v>52.5</v>
      </c>
      <c r="H44" s="35">
        <f t="shared" si="6"/>
        <v>142.04999999999995</v>
      </c>
      <c r="I44" s="77">
        <f t="shared" si="4"/>
        <v>0.15688331768733774</v>
      </c>
    </row>
    <row r="45" spans="1:9" ht="16.5" thickBot="1">
      <c r="A45" s="207" t="s">
        <v>41</v>
      </c>
      <c r="B45" s="154" t="s">
        <v>175</v>
      </c>
      <c r="C45" s="163">
        <v>523.25</v>
      </c>
      <c r="D45" s="163">
        <v>575</v>
      </c>
      <c r="E45" s="73">
        <f t="shared" si="3"/>
        <v>51.75</v>
      </c>
      <c r="F45" s="54">
        <f>_xlfn.XLOOKUP(A45,'Sierra LD Ref'!A:A,'Sierra LD Ref'!B:B,"")</f>
        <v>0.4</v>
      </c>
      <c r="G45" s="76">
        <f t="shared" si="0"/>
        <v>52.5</v>
      </c>
      <c r="H45" s="35">
        <f t="shared" si="6"/>
        <v>104.25</v>
      </c>
      <c r="I45" s="77">
        <f t="shared" si="4"/>
        <v>0.19923554706163402</v>
      </c>
    </row>
    <row r="46" spans="1:9" ht="16.5" thickBot="1">
      <c r="A46" s="207" t="s">
        <v>49</v>
      </c>
      <c r="B46" s="154" t="s">
        <v>320</v>
      </c>
      <c r="C46" s="163">
        <v>864.5</v>
      </c>
      <c r="D46" s="163">
        <v>950</v>
      </c>
      <c r="E46" s="73">
        <f t="shared" si="3"/>
        <v>85.5</v>
      </c>
      <c r="F46" s="54">
        <f>_xlfn.XLOOKUP(A46,'Sierra LD Ref'!A:A,'Sierra LD Ref'!B:B,"")</f>
        <v>0.4</v>
      </c>
      <c r="G46" s="76">
        <f t="shared" si="0"/>
        <v>52.5</v>
      </c>
      <c r="H46" s="35">
        <f t="shared" si="6"/>
        <v>138</v>
      </c>
      <c r="I46" s="77">
        <f t="shared" si="4"/>
        <v>0.15962984384037016</v>
      </c>
    </row>
    <row r="47" spans="1:9" ht="16.5" thickBot="1">
      <c r="A47" s="207" t="s">
        <v>43</v>
      </c>
      <c r="B47" s="154" t="s">
        <v>321</v>
      </c>
      <c r="C47" s="163">
        <v>773.5</v>
      </c>
      <c r="D47" s="163">
        <v>850</v>
      </c>
      <c r="E47" s="73">
        <f t="shared" si="3"/>
        <v>76.5</v>
      </c>
      <c r="F47" s="54">
        <f>_xlfn.XLOOKUP(A47,'Sierra LD Ref'!A:A,'Sierra LD Ref'!B:B,"")</f>
        <v>0.4</v>
      </c>
      <c r="G47" s="76">
        <f t="shared" si="0"/>
        <v>52.5</v>
      </c>
      <c r="H47" s="35">
        <f t="shared" si="6"/>
        <v>129</v>
      </c>
      <c r="I47" s="77">
        <f t="shared" si="4"/>
        <v>0.16677440206851971</v>
      </c>
    </row>
    <row r="48" spans="1:9" ht="16.5" thickBot="1">
      <c r="A48" s="207" t="s">
        <v>44</v>
      </c>
      <c r="B48" s="154" t="s">
        <v>187</v>
      </c>
      <c r="C48" s="163">
        <v>773.5</v>
      </c>
      <c r="D48" s="163">
        <v>850</v>
      </c>
      <c r="E48" s="73">
        <f t="shared" si="3"/>
        <v>76.5</v>
      </c>
      <c r="F48" s="54">
        <f>_xlfn.XLOOKUP(A48,'Sierra LD Ref'!A:A,'Sierra LD Ref'!B:B,"")</f>
        <v>0.4</v>
      </c>
      <c r="G48" s="76">
        <f t="shared" si="0"/>
        <v>52.5</v>
      </c>
      <c r="H48" s="35">
        <f t="shared" si="6"/>
        <v>129</v>
      </c>
      <c r="I48" s="77">
        <f t="shared" si="4"/>
        <v>0.16677440206851971</v>
      </c>
    </row>
    <row r="49" spans="1:22" ht="16.5" thickBot="1">
      <c r="A49" s="207" t="s">
        <v>22</v>
      </c>
      <c r="B49" s="154" t="s">
        <v>322</v>
      </c>
      <c r="C49" s="163">
        <v>1087.45</v>
      </c>
      <c r="D49" s="163">
        <v>1195</v>
      </c>
      <c r="E49" s="73">
        <f t="shared" si="3"/>
        <v>107.54999999999995</v>
      </c>
      <c r="F49" s="54">
        <f>_xlfn.XLOOKUP(A49,'Sierra LD Ref'!A:A,'Sierra LD Ref'!B:B,"")</f>
        <v>0.4</v>
      </c>
      <c r="G49" s="76">
        <f t="shared" si="0"/>
        <v>52.5</v>
      </c>
      <c r="H49" s="36">
        <f t="shared" si="6"/>
        <v>160.04999999999995</v>
      </c>
      <c r="I49" s="77">
        <f t="shared" si="4"/>
        <v>0.14717918065198396</v>
      </c>
    </row>
    <row r="50" spans="1:22" ht="16.5" thickBot="1">
      <c r="A50" s="207" t="s">
        <v>184</v>
      </c>
      <c r="B50" s="154" t="s">
        <v>323</v>
      </c>
      <c r="C50" s="163">
        <v>432.25</v>
      </c>
      <c r="D50" s="163">
        <v>475</v>
      </c>
      <c r="E50" s="73">
        <f t="shared" si="3"/>
        <v>42.75</v>
      </c>
      <c r="F50" s="54">
        <f>_xlfn.XLOOKUP(A50,'Sierra LD Ref'!A:A,'Sierra LD Ref'!B:B,"")</f>
        <v>0.5</v>
      </c>
      <c r="G50" s="76">
        <f t="shared" si="0"/>
        <v>65.625</v>
      </c>
      <c r="H50" s="36">
        <f t="shared" si="6"/>
        <v>108.375</v>
      </c>
      <c r="I50" s="77">
        <f t="shared" si="4"/>
        <v>0.25072296124927707</v>
      </c>
    </row>
    <row r="51" spans="1:22" ht="16.5" thickBot="1">
      <c r="A51" s="207" t="s">
        <v>92</v>
      </c>
      <c r="B51" s="154" t="s">
        <v>324</v>
      </c>
      <c r="C51" s="163">
        <v>2270.4499999999998</v>
      </c>
      <c r="D51" s="163">
        <v>2495</v>
      </c>
      <c r="E51" s="73">
        <f t="shared" si="3"/>
        <v>224.55000000000018</v>
      </c>
      <c r="F51" s="54">
        <f>_xlfn.XLOOKUP(A51,'Sierra LD Ref'!A:A,'Sierra LD Ref'!B:B,"")</f>
        <v>1.5</v>
      </c>
      <c r="G51" s="76">
        <f t="shared" si="0"/>
        <v>196.875</v>
      </c>
      <c r="H51" s="36">
        <f t="shared" si="6"/>
        <v>421.42500000000018</v>
      </c>
      <c r="I51" s="77">
        <f t="shared" si="4"/>
        <v>0.18561298421017869</v>
      </c>
    </row>
    <row r="52" spans="1:22">
      <c r="C52"/>
      <c r="D52"/>
    </row>
    <row r="60" spans="1:22">
      <c r="V60" s="284"/>
    </row>
  </sheetData>
  <autoFilter ref="A4:I4" xr:uid="{00000000-0001-0000-0100-000000000000}"/>
  <sortState xmlns:xlrd2="http://schemas.microsoft.com/office/spreadsheetml/2017/richdata2" ref="A20:I49">
    <sortCondition descending="1" ref="I20:I49"/>
  </sortState>
  <mergeCells count="5">
    <mergeCell ref="A1:I1"/>
    <mergeCell ref="H3:I3"/>
    <mergeCell ref="C3:E3"/>
    <mergeCell ref="F3:G3"/>
    <mergeCell ref="A3:B3"/>
  </mergeCells>
  <phoneticPr fontId="3" type="noConversion"/>
  <pageMargins left="0.25" right="0.25" top="0.75" bottom="0.75" header="0.3" footer="0.3"/>
  <pageSetup scale="7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5E502-C51B-4D23-B2F0-54CCDA89C116}">
  <sheetPr codeName="Sheet2">
    <tabColor theme="4" tint="-0.249977111117893"/>
  </sheetPr>
  <dimension ref="A1:V60"/>
  <sheetViews>
    <sheetView topLeftCell="A25" workbookViewId="0">
      <selection activeCell="O91" sqref="O91"/>
    </sheetView>
  </sheetViews>
  <sheetFormatPr defaultRowHeight="15"/>
  <sheetData>
    <row r="1" spans="1:2">
      <c r="A1" t="s">
        <v>35</v>
      </c>
      <c r="B1">
        <v>0.5</v>
      </c>
    </row>
    <row r="2" spans="1:2">
      <c r="A2" t="s">
        <v>100</v>
      </c>
      <c r="B2">
        <v>0.1</v>
      </c>
    </row>
    <row r="3" spans="1:2">
      <c r="A3" t="s">
        <v>157</v>
      </c>
      <c r="B3">
        <v>0.2</v>
      </c>
    </row>
    <row r="4" spans="1:2">
      <c r="A4" t="s">
        <v>45</v>
      </c>
      <c r="B4">
        <v>0.5</v>
      </c>
    </row>
    <row r="5" spans="1:2">
      <c r="A5" t="s">
        <v>127</v>
      </c>
      <c r="B5">
        <v>0.8</v>
      </c>
    </row>
    <row r="6" spans="1:2">
      <c r="A6" t="s">
        <v>46</v>
      </c>
      <c r="B6">
        <v>3.3</v>
      </c>
    </row>
    <row r="7" spans="1:2">
      <c r="A7" t="s">
        <v>128</v>
      </c>
      <c r="B7">
        <v>0.6</v>
      </c>
    </row>
    <row r="8" spans="1:2">
      <c r="A8" t="s">
        <v>39</v>
      </c>
      <c r="B8">
        <v>0.5</v>
      </c>
    </row>
    <row r="9" spans="1:2">
      <c r="A9" t="s">
        <v>40</v>
      </c>
      <c r="B9">
        <v>0.4</v>
      </c>
    </row>
    <row r="10" spans="1:2">
      <c r="A10" t="s">
        <v>184</v>
      </c>
      <c r="B10">
        <v>0.5</v>
      </c>
    </row>
    <row r="11" spans="1:2">
      <c r="A11" t="s">
        <v>111</v>
      </c>
      <c r="B11">
        <v>1</v>
      </c>
    </row>
    <row r="12" spans="1:2">
      <c r="A12" t="s">
        <v>55</v>
      </c>
      <c r="B12">
        <v>0.3</v>
      </c>
    </row>
    <row r="13" spans="1:2">
      <c r="A13" t="s">
        <v>102</v>
      </c>
      <c r="B13">
        <v>0.6</v>
      </c>
    </row>
    <row r="14" spans="1:2">
      <c r="A14" t="s">
        <v>17</v>
      </c>
      <c r="B14">
        <v>1.6</v>
      </c>
    </row>
    <row r="15" spans="1:2">
      <c r="A15" t="s">
        <v>248</v>
      </c>
      <c r="B15">
        <v>0.5</v>
      </c>
    </row>
    <row r="16" spans="1:2">
      <c r="A16" t="s">
        <v>104</v>
      </c>
      <c r="B16">
        <v>0.3</v>
      </c>
    </row>
    <row r="17" spans="1:2">
      <c r="A17" t="s">
        <v>37</v>
      </c>
      <c r="B17">
        <v>0.4</v>
      </c>
    </row>
    <row r="18" spans="1:2">
      <c r="A18" t="s">
        <v>38</v>
      </c>
      <c r="B18">
        <v>0.4</v>
      </c>
    </row>
    <row r="19" spans="1:2">
      <c r="A19" t="s">
        <v>90</v>
      </c>
      <c r="B19">
        <v>0.1</v>
      </c>
    </row>
    <row r="20" spans="1:2">
      <c r="A20" t="s">
        <v>50</v>
      </c>
      <c r="B20">
        <v>0.5</v>
      </c>
    </row>
    <row r="21" spans="1:2">
      <c r="A21" t="s">
        <v>305</v>
      </c>
      <c r="B21">
        <v>0.4</v>
      </c>
    </row>
    <row r="22" spans="1:2">
      <c r="A22" t="s">
        <v>12</v>
      </c>
      <c r="B22">
        <v>0.5</v>
      </c>
    </row>
    <row r="23" spans="1:2">
      <c r="A23" t="s">
        <v>10</v>
      </c>
      <c r="B23">
        <v>1</v>
      </c>
    </row>
    <row r="24" spans="1:2">
      <c r="A24" t="s">
        <v>318</v>
      </c>
      <c r="B24">
        <v>0.4</v>
      </c>
    </row>
    <row r="25" spans="1:2">
      <c r="A25" t="s">
        <v>41</v>
      </c>
      <c r="B25">
        <v>0.4</v>
      </c>
    </row>
    <row r="26" spans="1:2">
      <c r="A26" t="s">
        <v>49</v>
      </c>
      <c r="B26">
        <v>0.4</v>
      </c>
    </row>
    <row r="27" spans="1:2">
      <c r="A27" t="s">
        <v>43</v>
      </c>
      <c r="B27">
        <v>0.4</v>
      </c>
    </row>
    <row r="28" spans="1:2">
      <c r="A28" t="s">
        <v>44</v>
      </c>
      <c r="B28">
        <v>0.4</v>
      </c>
    </row>
    <row r="29" spans="1:2">
      <c r="A29" t="s">
        <v>22</v>
      </c>
      <c r="B29">
        <v>0.4</v>
      </c>
    </row>
    <row r="30" spans="1:2">
      <c r="A30" t="s">
        <v>47</v>
      </c>
      <c r="B30">
        <v>0.2</v>
      </c>
    </row>
    <row r="31" spans="1:2">
      <c r="A31" t="s">
        <v>199</v>
      </c>
      <c r="B31">
        <v>0.1</v>
      </c>
    </row>
    <row r="32" spans="1:2">
      <c r="A32" t="s">
        <v>36</v>
      </c>
      <c r="B32">
        <v>0.1</v>
      </c>
    </row>
    <row r="33" spans="1:11">
      <c r="A33" t="s">
        <v>27</v>
      </c>
      <c r="B33">
        <v>1</v>
      </c>
    </row>
    <row r="34" spans="1:11">
      <c r="A34" t="s">
        <v>18</v>
      </c>
      <c r="B34">
        <v>0.4</v>
      </c>
    </row>
    <row r="35" spans="1:11">
      <c r="A35" t="s">
        <v>93</v>
      </c>
      <c r="B35">
        <v>0.3</v>
      </c>
    </row>
    <row r="36" spans="1:11">
      <c r="A36" t="s">
        <v>51</v>
      </c>
      <c r="B36">
        <v>0.2</v>
      </c>
    </row>
    <row r="37" spans="1:11">
      <c r="A37" t="s">
        <v>119</v>
      </c>
      <c r="B37">
        <v>4.5999999999999996</v>
      </c>
    </row>
    <row r="38" spans="1:11">
      <c r="A38" t="s">
        <v>176</v>
      </c>
      <c r="B38">
        <v>0.3</v>
      </c>
    </row>
    <row r="39" spans="1:11">
      <c r="A39" t="s">
        <v>110</v>
      </c>
      <c r="B39">
        <v>0.1</v>
      </c>
    </row>
    <row r="40" spans="1:11">
      <c r="A40" t="s">
        <v>92</v>
      </c>
      <c r="B40">
        <v>1.5</v>
      </c>
    </row>
    <row r="41" spans="1:11">
      <c r="A41" t="s">
        <v>173</v>
      </c>
      <c r="B41">
        <v>0.8</v>
      </c>
    </row>
    <row r="42" spans="1:11">
      <c r="A42" t="s">
        <v>163</v>
      </c>
      <c r="B42">
        <v>0.8</v>
      </c>
      <c r="J42" s="64"/>
      <c r="K42" s="64"/>
    </row>
    <row r="43" spans="1:11">
      <c r="A43" t="s">
        <v>179</v>
      </c>
      <c r="B43">
        <v>0.8</v>
      </c>
      <c r="J43" s="64"/>
      <c r="K43" s="64"/>
    </row>
    <row r="44" spans="1:11">
      <c r="A44" t="s">
        <v>53</v>
      </c>
      <c r="B44">
        <v>0.8</v>
      </c>
      <c r="J44" s="64"/>
      <c r="K44" s="64"/>
    </row>
    <row r="45" spans="1:11">
      <c r="A45" t="s">
        <v>181</v>
      </c>
      <c r="B45">
        <v>0.8</v>
      </c>
    </row>
    <row r="46" spans="1:11">
      <c r="A46" t="s">
        <v>52</v>
      </c>
      <c r="B46">
        <v>0.8</v>
      </c>
    </row>
    <row r="47" spans="1:11">
      <c r="A47" t="s">
        <v>94</v>
      </c>
      <c r="B47">
        <v>0.8</v>
      </c>
    </row>
    <row r="48" spans="1:11">
      <c r="A48" t="s">
        <v>54</v>
      </c>
      <c r="B48">
        <v>0.8</v>
      </c>
    </row>
    <row r="49" spans="1:22">
      <c r="A49" t="s">
        <v>95</v>
      </c>
      <c r="B49">
        <v>0.8</v>
      </c>
    </row>
    <row r="50" spans="1:22">
      <c r="A50" t="s">
        <v>312</v>
      </c>
      <c r="B50">
        <v>0.8</v>
      </c>
    </row>
    <row r="51" spans="1:22">
      <c r="A51" t="s">
        <v>15</v>
      </c>
      <c r="B51">
        <v>0.1</v>
      </c>
    </row>
    <row r="52" spans="1:22">
      <c r="A52" t="s">
        <v>11</v>
      </c>
      <c r="B52">
        <v>1</v>
      </c>
    </row>
    <row r="53" spans="1:22">
      <c r="A53" t="s">
        <v>78</v>
      </c>
      <c r="B53" cm="1">
        <f t="array" aca="1" ref="B53" ca="1">+OFFSET(RVQ,0,1)+OFFSET(RIA,0,1)+OFFSET(SFZ,0,1)+OFFSET(RIK,0,1)</f>
        <v>2.6</v>
      </c>
    </row>
    <row r="54" spans="1:22">
      <c r="A54" t="s">
        <v>57</v>
      </c>
      <c r="B54">
        <f ca="1">+OFFSET(RIA,0,1)+OFFSET(VQK,0,1)</f>
        <v>1.1000000000000001</v>
      </c>
    </row>
    <row r="55" spans="1:22">
      <c r="A55" t="s">
        <v>331</v>
      </c>
      <c r="B55">
        <f ca="1">+OFFSET(S1O,0,1)+OFFSET(VBJ,0,1)</f>
        <v>0.5</v>
      </c>
    </row>
    <row r="60" spans="1:22">
      <c r="V60" s="284"/>
    </row>
  </sheetData>
  <sortState xmlns:xlrd2="http://schemas.microsoft.com/office/spreadsheetml/2017/richdata2" ref="A1:B60">
    <sortCondition ref="A1:A60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ColWidth="9.140625" defaultRowHeight="15"/>
  <cols>
    <col min="1" max="1" width="8.7109375" style="13" customWidth="1"/>
    <col min="2" max="2" width="70.140625" style="13" customWidth="1"/>
    <col min="3" max="5" width="12.7109375" style="109" customWidth="1"/>
    <col min="6" max="6" width="12.7109375" style="110" customWidth="1"/>
    <col min="7" max="7" width="12.7109375" style="109" customWidth="1"/>
    <col min="8" max="8" width="12.7109375" style="111" customWidth="1"/>
    <col min="9" max="9" width="12.7109375" style="112" customWidth="1"/>
    <col min="10" max="10" width="9.140625" style="82"/>
    <col min="11" max="11" width="21.42578125" style="82" bestFit="1" customWidth="1"/>
    <col min="12" max="16384" width="9.140625" style="82"/>
  </cols>
  <sheetData>
    <row r="1" spans="1:13" ht="24" thickBot="1">
      <c r="A1" s="317" t="s">
        <v>388</v>
      </c>
      <c r="B1" s="317"/>
      <c r="C1" s="317"/>
      <c r="D1" s="317"/>
      <c r="E1" s="317"/>
      <c r="F1" s="317"/>
      <c r="G1" s="317"/>
      <c r="H1" s="317"/>
      <c r="I1" s="318"/>
    </row>
    <row r="2" spans="1:13" ht="12" customHeight="1" thickBot="1">
      <c r="A2" s="83"/>
      <c r="B2" s="83"/>
      <c r="C2" s="84"/>
      <c r="D2" s="84"/>
      <c r="E2" s="84"/>
      <c r="F2" s="84"/>
      <c r="G2" s="84"/>
      <c r="H2" s="84"/>
      <c r="I2" s="85"/>
    </row>
    <row r="3" spans="1:13" ht="38.25" customHeight="1" thickBot="1">
      <c r="A3" s="86"/>
      <c r="B3" s="86"/>
      <c r="C3" s="319" t="s">
        <v>170</v>
      </c>
      <c r="D3" s="320"/>
      <c r="E3" s="321"/>
      <c r="F3" s="319" t="s">
        <v>171</v>
      </c>
      <c r="G3" s="321"/>
      <c r="H3" s="319" t="s">
        <v>172</v>
      </c>
      <c r="I3" s="321"/>
    </row>
    <row r="4" spans="1:13" ht="45.75" customHeight="1" thickBot="1">
      <c r="A4" s="113" t="s">
        <v>0</v>
      </c>
      <c r="B4" s="218" t="s">
        <v>1</v>
      </c>
      <c r="C4" s="71" t="s">
        <v>3</v>
      </c>
      <c r="D4" s="72" t="s">
        <v>4</v>
      </c>
      <c r="E4" s="37" t="s">
        <v>6</v>
      </c>
      <c r="F4" s="87" t="s">
        <v>2</v>
      </c>
      <c r="G4" s="81" t="s">
        <v>5</v>
      </c>
      <c r="H4" s="39" t="s">
        <v>7</v>
      </c>
      <c r="I4" s="88" t="s">
        <v>8</v>
      </c>
    </row>
    <row r="5" spans="1:13">
      <c r="A5" s="227" t="s">
        <v>32</v>
      </c>
      <c r="B5" s="228" t="s">
        <v>390</v>
      </c>
      <c r="C5" s="229">
        <v>865</v>
      </c>
      <c r="D5" s="230">
        <v>950</v>
      </c>
      <c r="E5" s="223">
        <f t="shared" ref="E5:E7" si="0">D5-C5</f>
        <v>85</v>
      </c>
      <c r="F5" s="90">
        <f ca="1">_xlfn.XLOOKUP(A5,'Sierra HD Ref'!A:A,'Sierra HD Ref'!B:B,"")</f>
        <v>0.5</v>
      </c>
      <c r="G5" s="89">
        <f t="shared" ref="G5:G7" ca="1" si="1">(F5*Labor)*SvcGross</f>
        <v>65.625</v>
      </c>
      <c r="H5" s="91">
        <f t="shared" ref="H5:H7" ca="1" si="2">G5+E5</f>
        <v>150.625</v>
      </c>
      <c r="I5" s="92">
        <f t="shared" ref="I5:I7" ca="1" si="3">H5/D5</f>
        <v>0.15855263157894736</v>
      </c>
    </row>
    <row r="6" spans="1:13">
      <c r="A6" s="231" t="s">
        <v>331</v>
      </c>
      <c r="B6" s="221" t="s">
        <v>391</v>
      </c>
      <c r="C6" s="222">
        <v>592</v>
      </c>
      <c r="D6" s="232">
        <v>650</v>
      </c>
      <c r="E6" s="223">
        <f t="shared" si="0"/>
        <v>58</v>
      </c>
      <c r="F6" s="90">
        <f ca="1">_xlfn.XLOOKUP(A6,'Sierra HD Ref'!A:A,'Sierra HD Ref'!B:B,"")</f>
        <v>0.2</v>
      </c>
      <c r="G6" s="89">
        <f t="shared" ca="1" si="1"/>
        <v>26.25</v>
      </c>
      <c r="H6" s="91">
        <f t="shared" ca="1" si="2"/>
        <v>84.25</v>
      </c>
      <c r="I6" s="92">
        <f t="shared" ca="1" si="3"/>
        <v>0.1296153846153846</v>
      </c>
    </row>
    <row r="7" spans="1:13" ht="15.75" thickBot="1">
      <c r="A7" s="233" t="s">
        <v>57</v>
      </c>
      <c r="B7" s="234" t="s">
        <v>392</v>
      </c>
      <c r="C7" s="235">
        <v>450</v>
      </c>
      <c r="D7" s="236">
        <v>495</v>
      </c>
      <c r="E7" s="223">
        <f t="shared" si="0"/>
        <v>45</v>
      </c>
      <c r="F7" s="90">
        <f ca="1">_xlfn.XLOOKUP(A7,'Sierra HD Ref'!A:A,'Sierra HD Ref'!B:B,"")</f>
        <v>1.1000000000000001</v>
      </c>
      <c r="G7" s="89">
        <f t="shared" ca="1" si="1"/>
        <v>144.37500000000003</v>
      </c>
      <c r="H7" s="91">
        <f t="shared" ca="1" si="2"/>
        <v>189.37500000000003</v>
      </c>
      <c r="I7" s="92">
        <f t="shared" ca="1" si="3"/>
        <v>0.38257575757575762</v>
      </c>
    </row>
    <row r="8" spans="1:13">
      <c r="A8" s="224" t="s">
        <v>100</v>
      </c>
      <c r="B8" s="225" t="s">
        <v>337</v>
      </c>
      <c r="C8" s="226">
        <v>136.5</v>
      </c>
      <c r="D8" s="226">
        <v>150</v>
      </c>
      <c r="E8" s="89">
        <f t="shared" ref="E8:E14" si="4">D8-C8</f>
        <v>13.5</v>
      </c>
      <c r="F8" s="90">
        <f>_xlfn.XLOOKUP(A8,'Sierra HD Ref'!A:A,'Sierra HD Ref'!B:B,"")</f>
        <v>0.2</v>
      </c>
      <c r="G8" s="89">
        <f t="shared" ref="G8:G38" si="5">(F8*Labor)*SvcGross</f>
        <v>26.25</v>
      </c>
      <c r="H8" s="91">
        <f>G8+E8</f>
        <v>39.75</v>
      </c>
      <c r="I8" s="92">
        <f t="shared" ref="I8:I19" si="6">H8/D8</f>
        <v>0.26500000000000001</v>
      </c>
    </row>
    <row r="9" spans="1:13">
      <c r="A9" s="219" t="s">
        <v>45</v>
      </c>
      <c r="B9" s="220" t="s">
        <v>328</v>
      </c>
      <c r="C9" s="163">
        <v>227.5</v>
      </c>
      <c r="D9" s="163">
        <v>250</v>
      </c>
      <c r="E9" s="89">
        <f t="shared" si="4"/>
        <v>22.5</v>
      </c>
      <c r="F9" s="90">
        <f>_xlfn.XLOOKUP(A9,'Sierra HD Ref'!A:A,'Sierra HD Ref'!B:B,"")</f>
        <v>0.5</v>
      </c>
      <c r="G9" s="89">
        <f t="shared" si="5"/>
        <v>65.625</v>
      </c>
      <c r="H9" s="91">
        <f>G9+E9</f>
        <v>88.125</v>
      </c>
      <c r="I9" s="92">
        <f t="shared" si="6"/>
        <v>0.35249999999999998</v>
      </c>
      <c r="M9" s="93"/>
    </row>
    <row r="10" spans="1:13">
      <c r="A10" s="219" t="s">
        <v>47</v>
      </c>
      <c r="B10" s="220" t="s">
        <v>77</v>
      </c>
      <c r="C10" s="163">
        <v>268.45</v>
      </c>
      <c r="D10" s="163">
        <v>295</v>
      </c>
      <c r="E10" s="89">
        <f t="shared" si="4"/>
        <v>26.550000000000011</v>
      </c>
      <c r="F10" s="90">
        <f>_xlfn.XLOOKUP(A10,'Sierra HD Ref'!A:A,'Sierra HD Ref'!B:B,"")</f>
        <v>0.2</v>
      </c>
      <c r="G10" s="89">
        <f t="shared" si="5"/>
        <v>26.25</v>
      </c>
      <c r="H10" s="91">
        <f>G10+E10</f>
        <v>52.800000000000011</v>
      </c>
      <c r="I10" s="92">
        <f t="shared" si="6"/>
        <v>0.17898305084745766</v>
      </c>
    </row>
    <row r="11" spans="1:13" ht="15.75" thickBot="1">
      <c r="A11" s="219" t="s">
        <v>11</v>
      </c>
      <c r="B11" s="220" t="s">
        <v>332</v>
      </c>
      <c r="C11" s="163">
        <v>841.75</v>
      </c>
      <c r="D11" s="163">
        <v>925</v>
      </c>
      <c r="E11" s="94">
        <f t="shared" si="4"/>
        <v>83.25</v>
      </c>
      <c r="F11" s="95">
        <f>_xlfn.XLOOKUP(A11,'Sierra HD Ref'!A:A,'Sierra HD Ref'!B:B,"")</f>
        <v>1</v>
      </c>
      <c r="G11" s="94">
        <f t="shared" si="5"/>
        <v>131.25</v>
      </c>
      <c r="H11" s="96">
        <f>G11+E11</f>
        <v>214.5</v>
      </c>
      <c r="I11" s="97">
        <f t="shared" si="6"/>
        <v>0.23189189189189188</v>
      </c>
    </row>
    <row r="12" spans="1:13">
      <c r="A12" s="219" t="s">
        <v>36</v>
      </c>
      <c r="B12" s="220" t="s">
        <v>77</v>
      </c>
      <c r="C12" s="163">
        <v>241.15</v>
      </c>
      <c r="D12" s="163">
        <v>265</v>
      </c>
      <c r="E12" s="98">
        <f t="shared" si="4"/>
        <v>23.849999999999994</v>
      </c>
      <c r="F12" s="99">
        <f>_xlfn.XLOOKUP(A12,'Sierra HD Ref'!A:A,'Sierra HD Ref'!B:B,"")</f>
        <v>0.1</v>
      </c>
      <c r="G12" s="98">
        <f t="shared" si="5"/>
        <v>13.125</v>
      </c>
      <c r="H12" s="100">
        <f t="shared" ref="H12:H20" si="7">G12+E12</f>
        <v>36.974999999999994</v>
      </c>
      <c r="I12" s="101">
        <f t="shared" si="6"/>
        <v>0.13952830188679244</v>
      </c>
    </row>
    <row r="13" spans="1:13">
      <c r="A13" s="219" t="s">
        <v>37</v>
      </c>
      <c r="B13" s="220" t="s">
        <v>338</v>
      </c>
      <c r="C13" s="163">
        <v>682.5</v>
      </c>
      <c r="D13" s="163">
        <v>750</v>
      </c>
      <c r="E13" s="89">
        <f t="shared" si="4"/>
        <v>67.5</v>
      </c>
      <c r="F13" s="90">
        <f>_xlfn.XLOOKUP(A13,'Sierra HD Ref'!A:A,'Sierra HD Ref'!B:B,"")</f>
        <v>0.8</v>
      </c>
      <c r="G13" s="89">
        <f t="shared" si="5"/>
        <v>105</v>
      </c>
      <c r="H13" s="91">
        <f t="shared" si="7"/>
        <v>172.5</v>
      </c>
      <c r="I13" s="102">
        <f t="shared" si="6"/>
        <v>0.23</v>
      </c>
    </row>
    <row r="14" spans="1:13">
      <c r="A14" s="219" t="s">
        <v>38</v>
      </c>
      <c r="B14" s="220" t="s">
        <v>339</v>
      </c>
      <c r="C14" s="163">
        <v>682.5</v>
      </c>
      <c r="D14" s="163">
        <v>750</v>
      </c>
      <c r="E14" s="89">
        <f t="shared" si="4"/>
        <v>67.5</v>
      </c>
      <c r="F14" s="90">
        <f>_xlfn.XLOOKUP(A14,'Sierra HD Ref'!A:A,'Sierra HD Ref'!B:B,"")</f>
        <v>0.4</v>
      </c>
      <c r="G14" s="89">
        <f t="shared" si="5"/>
        <v>52.5</v>
      </c>
      <c r="H14" s="91">
        <f t="shared" si="7"/>
        <v>120</v>
      </c>
      <c r="I14" s="102">
        <f t="shared" si="6"/>
        <v>0.16</v>
      </c>
    </row>
    <row r="15" spans="1:13">
      <c r="A15" s="219" t="s">
        <v>27</v>
      </c>
      <c r="B15" s="220" t="s">
        <v>340</v>
      </c>
      <c r="C15" s="163">
        <v>450.45</v>
      </c>
      <c r="D15" s="163">
        <v>495</v>
      </c>
      <c r="E15" s="89">
        <f t="shared" ref="E15:E37" si="8">D15-C15</f>
        <v>44.550000000000011</v>
      </c>
      <c r="F15" s="90">
        <f>_xlfn.XLOOKUP(A15,'Sierra HD Ref'!A:A,'Sierra HD Ref'!B:B,"")</f>
        <v>1</v>
      </c>
      <c r="G15" s="89">
        <f t="shared" si="5"/>
        <v>131.25</v>
      </c>
      <c r="H15" s="91">
        <f t="shared" si="7"/>
        <v>175.8</v>
      </c>
      <c r="I15" s="102">
        <f t="shared" si="6"/>
        <v>0.35515151515151516</v>
      </c>
    </row>
    <row r="16" spans="1:13">
      <c r="A16" s="219" t="s">
        <v>341</v>
      </c>
      <c r="B16" s="220" t="s">
        <v>342</v>
      </c>
      <c r="C16" s="163">
        <v>70.069999999999993</v>
      </c>
      <c r="D16" s="163">
        <v>77</v>
      </c>
      <c r="E16" s="89">
        <f t="shared" si="8"/>
        <v>6.9300000000000068</v>
      </c>
      <c r="F16" s="90">
        <f>_xlfn.XLOOKUP(A16,'Sierra HD Ref'!A:A,'Sierra HD Ref'!B:B,"")</f>
        <v>0.1</v>
      </c>
      <c r="G16" s="89">
        <f t="shared" si="5"/>
        <v>13.125</v>
      </c>
      <c r="H16" s="91">
        <f t="shared" si="7"/>
        <v>20.055000000000007</v>
      </c>
      <c r="I16" s="102">
        <f t="shared" si="6"/>
        <v>0.26045454545454555</v>
      </c>
    </row>
    <row r="17" spans="1:9" ht="14.25" customHeight="1">
      <c r="A17" s="219" t="s">
        <v>93</v>
      </c>
      <c r="B17" s="220" t="s">
        <v>343</v>
      </c>
      <c r="C17" s="163">
        <v>318.5</v>
      </c>
      <c r="D17" s="163">
        <v>350</v>
      </c>
      <c r="E17" s="89">
        <f t="shared" si="8"/>
        <v>31.5</v>
      </c>
      <c r="F17" s="90">
        <f>_xlfn.XLOOKUP(A17,'Sierra HD Ref'!A:A,'Sierra HD Ref'!B:B,"")</f>
        <v>0.1</v>
      </c>
      <c r="G17" s="89">
        <f t="shared" si="5"/>
        <v>13.125</v>
      </c>
      <c r="H17" s="91">
        <f t="shared" si="7"/>
        <v>44.625</v>
      </c>
      <c r="I17" s="102">
        <f t="shared" si="6"/>
        <v>0.1275</v>
      </c>
    </row>
    <row r="18" spans="1:9">
      <c r="A18" s="219" t="s">
        <v>90</v>
      </c>
      <c r="B18" s="220" t="s">
        <v>300</v>
      </c>
      <c r="C18" s="163">
        <v>177.45</v>
      </c>
      <c r="D18" s="163">
        <v>195</v>
      </c>
      <c r="E18" s="89">
        <f t="shared" si="8"/>
        <v>17.550000000000011</v>
      </c>
      <c r="F18" s="90">
        <f>_xlfn.XLOOKUP(A18,'Sierra HD Ref'!A:A,'Sierra HD Ref'!B:B,"")</f>
        <v>0.1</v>
      </c>
      <c r="G18" s="89">
        <f t="shared" si="5"/>
        <v>13.125</v>
      </c>
      <c r="H18" s="91">
        <f t="shared" si="7"/>
        <v>30.675000000000011</v>
      </c>
      <c r="I18" s="102">
        <f t="shared" si="6"/>
        <v>0.15730769230769237</v>
      </c>
    </row>
    <row r="19" spans="1:9">
      <c r="A19" s="219" t="s">
        <v>23</v>
      </c>
      <c r="B19" s="220" t="s">
        <v>24</v>
      </c>
      <c r="C19" s="163">
        <v>227.5</v>
      </c>
      <c r="D19" s="163">
        <v>250</v>
      </c>
      <c r="E19" s="89">
        <f t="shared" si="8"/>
        <v>22.5</v>
      </c>
      <c r="F19" s="90">
        <f>_xlfn.XLOOKUP(A19,'Sierra HD Ref'!A:A,'Sierra HD Ref'!B:B,"")</f>
        <v>0.4</v>
      </c>
      <c r="G19" s="89">
        <f t="shared" si="5"/>
        <v>52.5</v>
      </c>
      <c r="H19" s="91">
        <f t="shared" si="7"/>
        <v>75</v>
      </c>
      <c r="I19" s="102">
        <f t="shared" si="6"/>
        <v>0.3</v>
      </c>
    </row>
    <row r="20" spans="1:9">
      <c r="A20" s="219" t="s">
        <v>50</v>
      </c>
      <c r="B20" s="220" t="s">
        <v>174</v>
      </c>
      <c r="C20" s="163">
        <v>996.45</v>
      </c>
      <c r="D20" s="163">
        <v>1095</v>
      </c>
      <c r="E20" s="89">
        <f t="shared" si="8"/>
        <v>98.549999999999955</v>
      </c>
      <c r="F20" s="90">
        <f>_xlfn.XLOOKUP(A20,'Sierra HD Ref'!A:A,'Sierra HD Ref'!B:B,"")</f>
        <v>0.5</v>
      </c>
      <c r="G20" s="89">
        <f t="shared" si="5"/>
        <v>65.625</v>
      </c>
      <c r="H20" s="91">
        <f t="shared" si="7"/>
        <v>164.17499999999995</v>
      </c>
      <c r="I20" s="103">
        <f t="shared" ref="I20:I37" si="9">H20/D20</f>
        <v>0.14993150684931503</v>
      </c>
    </row>
    <row r="21" spans="1:9">
      <c r="A21" s="219" t="s">
        <v>121</v>
      </c>
      <c r="B21" s="220" t="s">
        <v>344</v>
      </c>
      <c r="C21" s="163">
        <v>3139.5</v>
      </c>
      <c r="D21" s="163">
        <v>3450</v>
      </c>
      <c r="E21" s="89">
        <f t="shared" si="8"/>
        <v>310.5</v>
      </c>
      <c r="F21" s="90">
        <f>_xlfn.XLOOKUP(A21,'Sierra HD Ref'!A:A,'Sierra HD Ref'!B:B,"")</f>
        <v>0.8</v>
      </c>
      <c r="G21" s="89">
        <f t="shared" si="5"/>
        <v>105</v>
      </c>
      <c r="H21" s="104">
        <f t="shared" ref="H21:H37" si="10">G21+E21</f>
        <v>415.5</v>
      </c>
      <c r="I21" s="103">
        <f t="shared" si="9"/>
        <v>0.12043478260869565</v>
      </c>
    </row>
    <row r="22" spans="1:9">
      <c r="A22" s="219" t="s">
        <v>111</v>
      </c>
      <c r="B22" s="220" t="s">
        <v>345</v>
      </c>
      <c r="C22" s="163">
        <v>887.25</v>
      </c>
      <c r="D22" s="163">
        <v>975</v>
      </c>
      <c r="E22" s="89">
        <f t="shared" si="8"/>
        <v>87.75</v>
      </c>
      <c r="F22" s="90">
        <f>_xlfn.XLOOKUP(A22,'Sierra HD Ref'!A:A,'Sierra HD Ref'!B:B,"")</f>
        <v>1</v>
      </c>
      <c r="G22" s="89">
        <f t="shared" si="5"/>
        <v>131.25</v>
      </c>
      <c r="H22" s="104">
        <f t="shared" si="10"/>
        <v>219</v>
      </c>
      <c r="I22" s="103">
        <f t="shared" si="9"/>
        <v>0.22461538461538461</v>
      </c>
    </row>
    <row r="23" spans="1:9">
      <c r="A23" s="219" t="s">
        <v>146</v>
      </c>
      <c r="B23" s="220" t="s">
        <v>346</v>
      </c>
      <c r="C23" s="163">
        <v>3503.5</v>
      </c>
      <c r="D23" s="163">
        <v>3850</v>
      </c>
      <c r="E23" s="89">
        <f t="shared" si="8"/>
        <v>346.5</v>
      </c>
      <c r="F23" s="90">
        <f>_xlfn.XLOOKUP(A23,'Sierra HD Ref'!A:A,'Sierra HD Ref'!B:B,"")</f>
        <v>0.8</v>
      </c>
      <c r="G23" s="89">
        <f t="shared" si="5"/>
        <v>105</v>
      </c>
      <c r="H23" s="104">
        <f t="shared" si="10"/>
        <v>451.5</v>
      </c>
      <c r="I23" s="103">
        <f t="shared" si="9"/>
        <v>0.11727272727272728</v>
      </c>
    </row>
    <row r="24" spans="1:9">
      <c r="A24" s="219" t="s">
        <v>120</v>
      </c>
      <c r="B24" s="220" t="s">
        <v>250</v>
      </c>
      <c r="C24" s="163">
        <v>2866.5</v>
      </c>
      <c r="D24" s="163">
        <v>3150</v>
      </c>
      <c r="E24" s="89">
        <f t="shared" si="8"/>
        <v>283.5</v>
      </c>
      <c r="F24" s="90">
        <f>_xlfn.XLOOKUP(A24,'Sierra HD Ref'!A:A,'Sierra HD Ref'!B:B,"")</f>
        <v>0.8</v>
      </c>
      <c r="G24" s="89">
        <f t="shared" si="5"/>
        <v>105</v>
      </c>
      <c r="H24" s="104">
        <f t="shared" si="10"/>
        <v>388.5</v>
      </c>
      <c r="I24" s="103">
        <f t="shared" si="9"/>
        <v>0.12333333333333334</v>
      </c>
    </row>
    <row r="25" spans="1:9">
      <c r="A25" s="219" t="s">
        <v>305</v>
      </c>
      <c r="B25" s="220" t="s">
        <v>306</v>
      </c>
      <c r="C25" s="163">
        <v>905.45</v>
      </c>
      <c r="D25" s="163">
        <v>995</v>
      </c>
      <c r="E25" s="89">
        <f t="shared" si="8"/>
        <v>89.549999999999955</v>
      </c>
      <c r="F25" s="90">
        <f>_xlfn.XLOOKUP(A25,'Sierra HD Ref'!A:A,'Sierra HD Ref'!B:B,"")</f>
        <v>1.1000000000000001</v>
      </c>
      <c r="G25" s="89">
        <f t="shared" si="5"/>
        <v>144.37500000000003</v>
      </c>
      <c r="H25" s="104">
        <f t="shared" si="10"/>
        <v>233.92499999999998</v>
      </c>
      <c r="I25" s="103">
        <f t="shared" si="9"/>
        <v>0.23510050251256279</v>
      </c>
    </row>
    <row r="26" spans="1:9">
      <c r="A26" s="219" t="s">
        <v>15</v>
      </c>
      <c r="B26" s="220" t="s">
        <v>16</v>
      </c>
      <c r="C26" s="163">
        <v>113.75</v>
      </c>
      <c r="D26" s="163">
        <v>125</v>
      </c>
      <c r="E26" s="89">
        <f t="shared" si="8"/>
        <v>11.25</v>
      </c>
      <c r="F26" s="90">
        <f>_xlfn.XLOOKUP(A26,'Sierra HD Ref'!A:A,'Sierra HD Ref'!B:B,"")</f>
        <v>0.1</v>
      </c>
      <c r="G26" s="89">
        <f t="shared" si="5"/>
        <v>13.125</v>
      </c>
      <c r="H26" s="104">
        <f t="shared" si="10"/>
        <v>24.375</v>
      </c>
      <c r="I26" s="103">
        <f t="shared" si="9"/>
        <v>0.19500000000000001</v>
      </c>
    </row>
    <row r="27" spans="1:9" ht="18" customHeight="1">
      <c r="A27" s="219" t="s">
        <v>84</v>
      </c>
      <c r="B27" s="220" t="s">
        <v>347</v>
      </c>
      <c r="C27" s="163">
        <v>2725.45</v>
      </c>
      <c r="D27" s="163">
        <v>2995</v>
      </c>
      <c r="E27" s="89">
        <f t="shared" si="8"/>
        <v>269.55000000000018</v>
      </c>
      <c r="F27" s="90">
        <f>_xlfn.XLOOKUP(A27,'Sierra HD Ref'!A:A,'Sierra HD Ref'!B:B,"")</f>
        <v>0.8</v>
      </c>
      <c r="G27" s="89">
        <f t="shared" si="5"/>
        <v>105</v>
      </c>
      <c r="H27" s="104">
        <f t="shared" si="10"/>
        <v>374.55000000000018</v>
      </c>
      <c r="I27" s="103">
        <f t="shared" si="9"/>
        <v>0.12505843071786316</v>
      </c>
    </row>
    <row r="28" spans="1:9">
      <c r="A28" s="219" t="s">
        <v>85</v>
      </c>
      <c r="B28" s="220" t="s">
        <v>347</v>
      </c>
      <c r="C28" s="163">
        <v>2775.5</v>
      </c>
      <c r="D28" s="163">
        <v>3050</v>
      </c>
      <c r="E28" s="89">
        <f t="shared" si="8"/>
        <v>274.5</v>
      </c>
      <c r="F28" s="90">
        <f>_xlfn.XLOOKUP(A28,'Sierra HD Ref'!A:A,'Sierra HD Ref'!B:B,"")</f>
        <v>0.8</v>
      </c>
      <c r="G28" s="89">
        <f t="shared" si="5"/>
        <v>105</v>
      </c>
      <c r="H28" s="104">
        <f t="shared" si="10"/>
        <v>379.5</v>
      </c>
      <c r="I28" s="103">
        <f t="shared" si="9"/>
        <v>0.12442622950819672</v>
      </c>
    </row>
    <row r="29" spans="1:9">
      <c r="A29" s="219" t="s">
        <v>83</v>
      </c>
      <c r="B29" s="220" t="s">
        <v>185</v>
      </c>
      <c r="C29" s="163">
        <v>341.25</v>
      </c>
      <c r="D29" s="163">
        <v>375</v>
      </c>
      <c r="E29" s="89">
        <f t="shared" si="8"/>
        <v>33.75</v>
      </c>
      <c r="F29" s="90">
        <f>_xlfn.XLOOKUP(A29,'Sierra HD Ref'!A:A,'Sierra HD Ref'!B:B,"")</f>
        <v>0.1</v>
      </c>
      <c r="G29" s="89">
        <f t="shared" si="5"/>
        <v>13.125</v>
      </c>
      <c r="H29" s="104">
        <f t="shared" si="10"/>
        <v>46.875</v>
      </c>
      <c r="I29" s="103">
        <f t="shared" si="9"/>
        <v>0.125</v>
      </c>
    </row>
    <row r="30" spans="1:9">
      <c r="A30" s="219" t="s">
        <v>86</v>
      </c>
      <c r="B30" s="220" t="s">
        <v>186</v>
      </c>
      <c r="C30" s="163">
        <v>3089.45</v>
      </c>
      <c r="D30" s="163">
        <v>3395</v>
      </c>
      <c r="E30" s="89">
        <f t="shared" si="8"/>
        <v>305.55000000000018</v>
      </c>
      <c r="F30" s="90">
        <f>_xlfn.XLOOKUP(A30,'Sierra HD Ref'!A:A,'Sierra HD Ref'!B:B,"")</f>
        <v>0.8</v>
      </c>
      <c r="G30" s="89">
        <f t="shared" si="5"/>
        <v>105</v>
      </c>
      <c r="H30" s="104">
        <f t="shared" si="10"/>
        <v>410.55000000000018</v>
      </c>
      <c r="I30" s="103">
        <f t="shared" si="9"/>
        <v>0.12092783505154645</v>
      </c>
    </row>
    <row r="31" spans="1:9">
      <c r="A31" s="219" t="s">
        <v>55</v>
      </c>
      <c r="B31" s="220" t="s">
        <v>87</v>
      </c>
      <c r="C31" s="163">
        <v>591.5</v>
      </c>
      <c r="D31" s="163">
        <v>650</v>
      </c>
      <c r="E31" s="89">
        <f t="shared" si="8"/>
        <v>58.5</v>
      </c>
      <c r="F31" s="90">
        <f>_xlfn.XLOOKUP(A31,'Sierra HD Ref'!A:A,'Sierra HD Ref'!B:B,"")</f>
        <v>0.1</v>
      </c>
      <c r="G31" s="89">
        <f t="shared" si="5"/>
        <v>13.125</v>
      </c>
      <c r="H31" s="104">
        <f t="shared" si="10"/>
        <v>71.625</v>
      </c>
      <c r="I31" s="103">
        <f t="shared" si="9"/>
        <v>0.11019230769230769</v>
      </c>
    </row>
    <row r="32" spans="1:9">
      <c r="A32" s="219" t="s">
        <v>51</v>
      </c>
      <c r="B32" s="220" t="s">
        <v>316</v>
      </c>
      <c r="C32" s="163">
        <v>295.75</v>
      </c>
      <c r="D32" s="163">
        <v>325</v>
      </c>
      <c r="E32" s="89">
        <f t="shared" si="8"/>
        <v>29.25</v>
      </c>
      <c r="F32" s="90">
        <f>_xlfn.XLOOKUP(A32,'Sierra HD Ref'!A:A,'Sierra HD Ref'!B:B,"")</f>
        <v>0.1</v>
      </c>
      <c r="G32" s="89">
        <f t="shared" si="5"/>
        <v>13.125</v>
      </c>
      <c r="H32" s="104">
        <f t="shared" si="10"/>
        <v>42.375</v>
      </c>
      <c r="I32" s="103">
        <f t="shared" si="9"/>
        <v>0.13038461538461538</v>
      </c>
    </row>
    <row r="33" spans="1:17">
      <c r="A33" s="219" t="s">
        <v>39</v>
      </c>
      <c r="B33" s="220" t="s">
        <v>183</v>
      </c>
      <c r="C33" s="163">
        <v>1360.45</v>
      </c>
      <c r="D33" s="163">
        <v>1495</v>
      </c>
      <c r="E33" s="89">
        <f t="shared" si="8"/>
        <v>134.54999999999995</v>
      </c>
      <c r="F33" s="90">
        <f>_xlfn.XLOOKUP(A33,'Sierra HD Ref'!A:A,'Sierra HD Ref'!B:B,"")</f>
        <v>0.6</v>
      </c>
      <c r="G33" s="89">
        <f t="shared" si="5"/>
        <v>78.75</v>
      </c>
      <c r="H33" s="104">
        <f t="shared" si="10"/>
        <v>213.29999999999995</v>
      </c>
      <c r="I33" s="103">
        <f t="shared" si="9"/>
        <v>0.1426755852842809</v>
      </c>
    </row>
    <row r="34" spans="1:17">
      <c r="A34" s="219" t="s">
        <v>10</v>
      </c>
      <c r="B34" s="220" t="s">
        <v>26</v>
      </c>
      <c r="C34" s="163">
        <v>250.25</v>
      </c>
      <c r="D34" s="163">
        <v>275</v>
      </c>
      <c r="E34" s="89">
        <f t="shared" si="8"/>
        <v>24.75</v>
      </c>
      <c r="F34" s="90">
        <f>_xlfn.XLOOKUP(A34,'Sierra HD Ref'!A:A,'Sierra HD Ref'!B:B,"")</f>
        <v>1</v>
      </c>
      <c r="G34" s="89">
        <f t="shared" si="5"/>
        <v>131.25</v>
      </c>
      <c r="H34" s="104">
        <f t="shared" si="10"/>
        <v>156</v>
      </c>
      <c r="I34" s="103">
        <f t="shared" si="9"/>
        <v>0.56727272727272726</v>
      </c>
    </row>
    <row r="35" spans="1:17">
      <c r="A35" s="219" t="s">
        <v>41</v>
      </c>
      <c r="B35" s="220" t="s">
        <v>175</v>
      </c>
      <c r="C35" s="163">
        <v>523.25</v>
      </c>
      <c r="D35" s="163">
        <v>575</v>
      </c>
      <c r="E35" s="89">
        <f t="shared" si="8"/>
        <v>51.75</v>
      </c>
      <c r="F35" s="90">
        <f>_xlfn.XLOOKUP(A35,'Sierra HD Ref'!A:A,'Sierra HD Ref'!B:B,"")</f>
        <v>0.4</v>
      </c>
      <c r="G35" s="89">
        <f t="shared" si="5"/>
        <v>52.5</v>
      </c>
      <c r="H35" s="104">
        <f t="shared" si="10"/>
        <v>104.25</v>
      </c>
      <c r="I35" s="103">
        <f t="shared" si="9"/>
        <v>0.18130434782608695</v>
      </c>
    </row>
    <row r="36" spans="1:17">
      <c r="A36" s="219" t="s">
        <v>43</v>
      </c>
      <c r="B36" s="220" t="s">
        <v>187</v>
      </c>
      <c r="C36" s="163">
        <v>814.45</v>
      </c>
      <c r="D36" s="163">
        <v>895</v>
      </c>
      <c r="E36" s="89">
        <f t="shared" si="8"/>
        <v>80.549999999999955</v>
      </c>
      <c r="F36" s="90">
        <f>_xlfn.XLOOKUP(A36,'Sierra HD Ref'!A:A,'Sierra HD Ref'!B:B,"")</f>
        <v>0.4</v>
      </c>
      <c r="G36" s="89">
        <f t="shared" si="5"/>
        <v>52.5</v>
      </c>
      <c r="H36" s="104">
        <f t="shared" si="10"/>
        <v>133.04999999999995</v>
      </c>
      <c r="I36" s="103">
        <f t="shared" si="9"/>
        <v>0.14865921787709493</v>
      </c>
    </row>
    <row r="37" spans="1:17" ht="15.75" thickBot="1">
      <c r="A37" s="219" t="s">
        <v>44</v>
      </c>
      <c r="B37" s="220" t="s">
        <v>187</v>
      </c>
      <c r="C37" s="163">
        <v>682.5</v>
      </c>
      <c r="D37" s="163">
        <v>750</v>
      </c>
      <c r="E37" s="105">
        <f t="shared" si="8"/>
        <v>67.5</v>
      </c>
      <c r="F37" s="106">
        <f>_xlfn.XLOOKUP(A37,'Sierra HD Ref'!A:A,'Sierra HD Ref'!B:B,"")</f>
        <v>0.4</v>
      </c>
      <c r="G37" s="105">
        <f t="shared" si="5"/>
        <v>52.5</v>
      </c>
      <c r="H37" s="107">
        <f t="shared" si="10"/>
        <v>120</v>
      </c>
      <c r="I37" s="108">
        <f t="shared" si="9"/>
        <v>0.16</v>
      </c>
    </row>
    <row r="38" spans="1:17" ht="15.75" thickBot="1">
      <c r="A38" s="219" t="s">
        <v>22</v>
      </c>
      <c r="B38" s="220" t="s">
        <v>322</v>
      </c>
      <c r="C38" s="163">
        <v>1178.45</v>
      </c>
      <c r="D38" s="163">
        <v>1295</v>
      </c>
      <c r="E38" s="105">
        <f t="shared" ref="E38" si="11">D38-C38</f>
        <v>116.54999999999995</v>
      </c>
      <c r="F38" s="106">
        <f>_xlfn.XLOOKUP(A38,'Sierra HD Ref'!A:A,'Sierra HD Ref'!B:B,"")</f>
        <v>0.4</v>
      </c>
      <c r="G38" s="105">
        <f t="shared" si="5"/>
        <v>52.5</v>
      </c>
      <c r="H38" s="107">
        <f t="shared" ref="H38" si="12">G38+E38</f>
        <v>169.04999999999995</v>
      </c>
      <c r="I38" s="108">
        <f t="shared" ref="I38" si="13">H38/D38</f>
        <v>0.13054054054054051</v>
      </c>
      <c r="Q38" s="13"/>
    </row>
    <row r="60" spans="22:22">
      <c r="V60" s="284"/>
    </row>
  </sheetData>
  <autoFilter ref="A4:I4" xr:uid="{00000000-0001-0000-0800-000000000000}"/>
  <sortState xmlns:xlrd2="http://schemas.microsoft.com/office/spreadsheetml/2017/richdata2" ref="A12:I13">
    <sortCondition descending="1" ref="I12:I13"/>
  </sortState>
  <mergeCells count="4">
    <mergeCell ref="A1:I1"/>
    <mergeCell ref="C3:E3"/>
    <mergeCell ref="H3:I3"/>
    <mergeCell ref="F3:G3"/>
  </mergeCells>
  <phoneticPr fontId="3" type="noConversion"/>
  <printOptions horizontalCentered="1"/>
  <pageMargins left="0.25" right="0.25" top="0.75" bottom="0.75" header="0.3" footer="0.3"/>
  <pageSetup scale="8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9EC21-10FE-4DEE-A163-0B8157EE5806}">
  <sheetPr codeName="Sheet4">
    <tabColor theme="4" tint="-0.249977111117893"/>
  </sheetPr>
  <dimension ref="A1:V60"/>
  <sheetViews>
    <sheetView topLeftCell="A27" workbookViewId="0">
      <selection activeCell="O91" sqref="O91"/>
    </sheetView>
  </sheetViews>
  <sheetFormatPr defaultRowHeight="15"/>
  <cols>
    <col min="7" max="7" width="33.85546875" customWidth="1"/>
  </cols>
  <sheetData>
    <row r="1" spans="1:9">
      <c r="A1" t="s">
        <v>35</v>
      </c>
      <c r="B1">
        <v>0.5</v>
      </c>
    </row>
    <row r="2" spans="1:9">
      <c r="A2" t="s">
        <v>100</v>
      </c>
      <c r="B2">
        <v>0.2</v>
      </c>
    </row>
    <row r="3" spans="1:9">
      <c r="A3" t="s">
        <v>45</v>
      </c>
      <c r="B3">
        <v>0.5</v>
      </c>
    </row>
    <row r="4" spans="1:9">
      <c r="A4" t="s">
        <v>39</v>
      </c>
      <c r="B4">
        <v>0.6</v>
      </c>
    </row>
    <row r="5" spans="1:9">
      <c r="A5" t="s">
        <v>111</v>
      </c>
      <c r="B5">
        <v>1</v>
      </c>
    </row>
    <row r="6" spans="1:9">
      <c r="A6" t="s">
        <v>55</v>
      </c>
      <c r="B6">
        <v>0.1</v>
      </c>
    </row>
    <row r="7" spans="1:9">
      <c r="A7" t="s">
        <v>17</v>
      </c>
      <c r="B7">
        <v>1</v>
      </c>
    </row>
    <row r="8" spans="1:9">
      <c r="A8" t="s">
        <v>248</v>
      </c>
      <c r="B8">
        <v>0.8</v>
      </c>
    </row>
    <row r="9" spans="1:9">
      <c r="A9" t="s">
        <v>37</v>
      </c>
      <c r="B9">
        <v>0.8</v>
      </c>
    </row>
    <row r="10" spans="1:9">
      <c r="A10" t="s">
        <v>38</v>
      </c>
      <c r="B10">
        <v>0.4</v>
      </c>
    </row>
    <row r="11" spans="1:9">
      <c r="A11" t="s">
        <v>90</v>
      </c>
      <c r="B11">
        <v>0.1</v>
      </c>
    </row>
    <row r="12" spans="1:9">
      <c r="A12" t="s">
        <v>23</v>
      </c>
      <c r="B12">
        <v>0.4</v>
      </c>
      <c r="G12" s="53"/>
    </row>
    <row r="13" spans="1:9">
      <c r="A13" t="s">
        <v>50</v>
      </c>
      <c r="B13">
        <v>0.5</v>
      </c>
    </row>
    <row r="14" spans="1:9">
      <c r="A14" t="s">
        <v>305</v>
      </c>
      <c r="B14">
        <v>1.1000000000000001</v>
      </c>
    </row>
    <row r="15" spans="1:9">
      <c r="A15" t="s">
        <v>12</v>
      </c>
      <c r="B15">
        <v>0.4</v>
      </c>
      <c r="H15" s="217"/>
      <c r="I15" s="217"/>
    </row>
    <row r="16" spans="1:9">
      <c r="A16" t="s">
        <v>10</v>
      </c>
      <c r="B16">
        <v>1</v>
      </c>
      <c r="H16" s="217"/>
      <c r="I16" s="217"/>
    </row>
    <row r="17" spans="1:9">
      <c r="A17" t="s">
        <v>41</v>
      </c>
      <c r="B17">
        <v>0.4</v>
      </c>
      <c r="H17" s="217"/>
      <c r="I17" s="217"/>
    </row>
    <row r="18" spans="1:9">
      <c r="A18" t="s">
        <v>43</v>
      </c>
      <c r="B18">
        <v>0.4</v>
      </c>
    </row>
    <row r="19" spans="1:9">
      <c r="A19" t="s">
        <v>44</v>
      </c>
      <c r="B19">
        <v>0.4</v>
      </c>
    </row>
    <row r="20" spans="1:9">
      <c r="A20" t="s">
        <v>22</v>
      </c>
      <c r="B20">
        <v>0.4</v>
      </c>
    </row>
    <row r="21" spans="1:9">
      <c r="A21" t="s">
        <v>47</v>
      </c>
      <c r="B21">
        <v>0.2</v>
      </c>
    </row>
    <row r="22" spans="1:9">
      <c r="A22" t="s">
        <v>199</v>
      </c>
      <c r="B22">
        <v>0.2</v>
      </c>
    </row>
    <row r="23" spans="1:9">
      <c r="A23" t="s">
        <v>36</v>
      </c>
      <c r="B23">
        <v>0.1</v>
      </c>
    </row>
    <row r="24" spans="1:9">
      <c r="A24" t="s">
        <v>27</v>
      </c>
      <c r="B24">
        <v>1</v>
      </c>
    </row>
    <row r="25" spans="1:9">
      <c r="A25" t="s">
        <v>18</v>
      </c>
      <c r="B25">
        <v>0.4</v>
      </c>
    </row>
    <row r="26" spans="1:9">
      <c r="A26" t="s">
        <v>93</v>
      </c>
      <c r="B26">
        <v>0.1</v>
      </c>
    </row>
    <row r="27" spans="1:9">
      <c r="A27" t="s">
        <v>51</v>
      </c>
      <c r="B27">
        <v>0.1</v>
      </c>
    </row>
    <row r="28" spans="1:9">
      <c r="A28" t="s">
        <v>42</v>
      </c>
      <c r="B28">
        <v>0.1</v>
      </c>
    </row>
    <row r="29" spans="1:9">
      <c r="A29" t="s">
        <v>83</v>
      </c>
      <c r="B29">
        <v>0.1</v>
      </c>
    </row>
    <row r="30" spans="1:9">
      <c r="A30" t="s">
        <v>121</v>
      </c>
      <c r="B30">
        <v>0.8</v>
      </c>
    </row>
    <row r="31" spans="1:9">
      <c r="A31" t="s">
        <v>146</v>
      </c>
      <c r="B31">
        <v>0.8</v>
      </c>
    </row>
    <row r="32" spans="1:9">
      <c r="A32" t="s">
        <v>120</v>
      </c>
      <c r="B32">
        <v>0.8</v>
      </c>
    </row>
    <row r="33" spans="1:2">
      <c r="A33" t="s">
        <v>84</v>
      </c>
      <c r="B33">
        <v>0.8</v>
      </c>
    </row>
    <row r="34" spans="1:2">
      <c r="A34" t="s">
        <v>85</v>
      </c>
      <c r="B34">
        <v>0.8</v>
      </c>
    </row>
    <row r="35" spans="1:2">
      <c r="A35" t="s">
        <v>86</v>
      </c>
      <c r="B35">
        <v>0.8</v>
      </c>
    </row>
    <row r="36" spans="1:2">
      <c r="A36" t="s">
        <v>15</v>
      </c>
      <c r="B36">
        <v>0.1</v>
      </c>
    </row>
    <row r="37" spans="1:2">
      <c r="A37" t="s">
        <v>341</v>
      </c>
      <c r="B37">
        <v>0.1</v>
      </c>
    </row>
    <row r="38" spans="1:2">
      <c r="A38" t="s">
        <v>11</v>
      </c>
      <c r="B38">
        <v>1</v>
      </c>
    </row>
    <row r="39" spans="1:2">
      <c r="A39" t="s">
        <v>331</v>
      </c>
      <c r="B39">
        <f ca="1">+OFFSET(S1O,0,1)+OFFSET(VBJ,0,1)</f>
        <v>0.2</v>
      </c>
    </row>
    <row r="40" spans="1:2">
      <c r="A40" t="s">
        <v>57</v>
      </c>
      <c r="B40">
        <f ca="1">+OFFSET(RIA,0,1)+OFFSET(VQK,0,1)</f>
        <v>1.1000000000000001</v>
      </c>
    </row>
    <row r="41" spans="1:2">
      <c r="A41" t="s">
        <v>32</v>
      </c>
      <c r="B41">
        <f ca="1">+OFFSET(RIA,0,1)+OFFSET(VXH,0,1)</f>
        <v>0.5</v>
      </c>
    </row>
    <row r="60" spans="22:22">
      <c r="V60" s="284"/>
    </row>
  </sheetData>
  <sortState xmlns:xlrd2="http://schemas.microsoft.com/office/spreadsheetml/2017/richdata2" ref="A1:B34">
    <sortCondition ref="A1:A34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0B422-EF99-4DA4-A61C-611846F23D2E}">
  <sheetPr codeName="Sheet5">
    <tabColor rgb="FFC00000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ColWidth="18.42578125" defaultRowHeight="15"/>
  <cols>
    <col min="1" max="1" width="8.7109375" style="8" customWidth="1"/>
    <col min="2" max="2" width="61.28515625" style="12" bestFit="1" customWidth="1"/>
    <col min="3" max="5" width="12.7109375" style="21" customWidth="1"/>
    <col min="6" max="9" width="12.7109375" customWidth="1"/>
    <col min="10" max="10" width="9.5703125" style="115" customWidth="1"/>
    <col min="11" max="11" width="21.42578125" style="115" bestFit="1" customWidth="1"/>
    <col min="12" max="12" width="10.42578125" style="115" customWidth="1"/>
  </cols>
  <sheetData>
    <row r="1" spans="1:12" ht="24" thickBot="1">
      <c r="A1" s="322" t="s">
        <v>393</v>
      </c>
      <c r="B1" s="323"/>
      <c r="C1" s="323"/>
      <c r="D1" s="323"/>
      <c r="E1" s="323"/>
      <c r="F1" s="323"/>
      <c r="G1" s="323"/>
      <c r="H1" s="323"/>
      <c r="I1" s="324"/>
    </row>
    <row r="2" spans="1:12" s="5" customFormat="1" ht="12" customHeight="1" thickBot="1">
      <c r="A2" s="57"/>
      <c r="B2" s="78"/>
      <c r="C2" s="58"/>
      <c r="D2" s="58"/>
      <c r="E2" s="58"/>
      <c r="F2" s="58"/>
      <c r="G2" s="58"/>
      <c r="H2" s="58"/>
      <c r="I2" s="58"/>
      <c r="J2" s="20"/>
      <c r="K2" s="20"/>
      <c r="L2" s="20"/>
    </row>
    <row r="3" spans="1:12" ht="24" thickBot="1">
      <c r="A3" s="117"/>
      <c r="B3" s="116"/>
      <c r="C3" s="312" t="s">
        <v>170</v>
      </c>
      <c r="D3" s="314"/>
      <c r="E3" s="314"/>
      <c r="F3" s="312" t="s">
        <v>171</v>
      </c>
      <c r="G3" s="313"/>
      <c r="H3" s="312" t="s">
        <v>172</v>
      </c>
      <c r="I3" s="313"/>
    </row>
    <row r="4" spans="1:12" ht="55.5" customHeight="1" thickBot="1">
      <c r="A4" s="33" t="s">
        <v>0</v>
      </c>
      <c r="B4" s="31" t="s">
        <v>1</v>
      </c>
      <c r="C4" s="32" t="s">
        <v>197</v>
      </c>
      <c r="D4" s="119" t="s">
        <v>198</v>
      </c>
      <c r="E4" s="174" t="s">
        <v>170</v>
      </c>
      <c r="F4" s="114" t="s">
        <v>2</v>
      </c>
      <c r="G4" s="43" t="s">
        <v>5</v>
      </c>
      <c r="H4" s="42" t="s">
        <v>7</v>
      </c>
      <c r="I4" s="26" t="s">
        <v>8</v>
      </c>
    </row>
    <row r="5" spans="1:12" ht="15" customHeight="1">
      <c r="A5" s="216" t="s">
        <v>151</v>
      </c>
      <c r="B5" s="156" t="s">
        <v>394</v>
      </c>
      <c r="C5" s="70">
        <v>381.97</v>
      </c>
      <c r="D5" s="70">
        <v>395</v>
      </c>
      <c r="E5" s="176">
        <f>D5-C5</f>
        <v>13.029999999999973</v>
      </c>
      <c r="F5" s="118">
        <f ca="1">_xlfn.XLOOKUP(A5,'Sierra EV Ref'!A:A,'Sierra EV Ref'!B:B,"")</f>
        <v>0.2</v>
      </c>
      <c r="G5" s="133">
        <f ca="1">(F5*Labor)*SvcGross</f>
        <v>26.25</v>
      </c>
      <c r="H5" s="44">
        <f ca="1">G5+E5</f>
        <v>39.279999999999973</v>
      </c>
      <c r="I5" s="132">
        <f ca="1">H5/C5</f>
        <v>0.10283530120166498</v>
      </c>
    </row>
    <row r="6" spans="1:12" ht="15.75" customHeight="1">
      <c r="A6" s="216" t="s">
        <v>152</v>
      </c>
      <c r="B6" s="156" t="s">
        <v>395</v>
      </c>
      <c r="C6" s="70">
        <v>459.33</v>
      </c>
      <c r="D6" s="70">
        <v>475</v>
      </c>
      <c r="E6" s="176">
        <f>D6-C6</f>
        <v>15.670000000000016</v>
      </c>
      <c r="F6" s="118">
        <f ca="1">_xlfn.XLOOKUP(A6,'Sierra EV Ref'!A:A,'Sierra EV Ref'!B:B,"")</f>
        <v>0.2</v>
      </c>
      <c r="G6" s="133">
        <f ca="1">(F6*Labor)*SvcGross</f>
        <v>26.25</v>
      </c>
      <c r="H6" s="44">
        <f ca="1">G6+E6</f>
        <v>41.920000000000016</v>
      </c>
      <c r="I6" s="175">
        <f ca="1">H6/C6</f>
        <v>9.1263361853133954E-2</v>
      </c>
    </row>
    <row r="7" spans="1:12" ht="15" customHeight="1">
      <c r="A7" s="216" t="s">
        <v>56</v>
      </c>
      <c r="B7" s="156" t="s">
        <v>396</v>
      </c>
      <c r="C7" s="70">
        <v>1058.8699999999999</v>
      </c>
      <c r="D7" s="70">
        <v>1095</v>
      </c>
      <c r="E7" s="176">
        <f>D7-C7</f>
        <v>36.130000000000109</v>
      </c>
      <c r="F7" s="118">
        <f ca="1">_xlfn.XLOOKUP(A7,'Sierra EV Ref'!A:A,'Sierra EV Ref'!B:B,"")</f>
        <v>0.7</v>
      </c>
      <c r="G7" s="133">
        <f ca="1">(F7*Labor)*SvcGross</f>
        <v>91.874999999999986</v>
      </c>
      <c r="H7" s="44">
        <f ca="1">G7+E7</f>
        <v>128.00500000000011</v>
      </c>
      <c r="I7" s="175">
        <f ca="1">H7/C7</f>
        <v>0.12088830545770503</v>
      </c>
    </row>
    <row r="8" spans="1:12" ht="15" customHeight="1">
      <c r="A8" s="216" t="s">
        <v>350</v>
      </c>
      <c r="B8" s="156" t="s">
        <v>397</v>
      </c>
      <c r="C8" s="70">
        <v>2175.75</v>
      </c>
      <c r="D8" s="70">
        <v>2250</v>
      </c>
      <c r="E8" s="176">
        <f>D8-C8</f>
        <v>74.25</v>
      </c>
      <c r="F8" s="118">
        <f ca="1">_xlfn.XLOOKUP(A8,'Sierra EV Ref'!A:A,'Sierra EV Ref'!B:B,"")</f>
        <v>0.7</v>
      </c>
      <c r="G8" s="133">
        <f ca="1">(F8*Labor)*SvcGross</f>
        <v>91.874999999999986</v>
      </c>
      <c r="H8" s="44">
        <f ca="1">G8+E8</f>
        <v>166.125</v>
      </c>
      <c r="I8" s="175">
        <f ca="1">H8/C8</f>
        <v>7.635298173043778E-2</v>
      </c>
    </row>
    <row r="9" spans="1:12" ht="15" customHeight="1">
      <c r="A9" s="216" t="s">
        <v>141</v>
      </c>
      <c r="B9" s="156" t="s">
        <v>398</v>
      </c>
      <c r="C9" s="70">
        <v>2606.0700000000002</v>
      </c>
      <c r="D9" s="70">
        <v>2695</v>
      </c>
      <c r="E9" s="176">
        <f>D9-C9</f>
        <v>88.929999999999836</v>
      </c>
      <c r="F9" s="118">
        <f ca="1">_xlfn.XLOOKUP(A9,'Sierra EV Ref'!A:A,'Sierra EV Ref'!B:B,"")</f>
        <v>1.3</v>
      </c>
      <c r="G9" s="133">
        <f ca="1">(F9*Labor)*SvcGross</f>
        <v>170.625</v>
      </c>
      <c r="H9" s="44">
        <f ca="1">G9+E9</f>
        <v>259.55499999999984</v>
      </c>
      <c r="I9" s="175">
        <f ca="1">H9/C9</f>
        <v>9.9596327036495499E-2</v>
      </c>
    </row>
    <row r="10" spans="1:12" ht="15" customHeight="1">
      <c r="A10" s="207" t="s">
        <v>188</v>
      </c>
      <c r="B10" s="154" t="s">
        <v>348</v>
      </c>
      <c r="C10" s="61">
        <v>1933.03</v>
      </c>
      <c r="D10" s="61">
        <v>1999</v>
      </c>
      <c r="E10" s="176">
        <f t="shared" ref="E10:E14" si="0">D10-C10</f>
        <v>65.970000000000027</v>
      </c>
      <c r="F10" s="118">
        <f>_xlfn.XLOOKUP(A10,'Sierra EV Ref'!A:A,'Sierra EV Ref'!B:B,"")</f>
        <v>0.1</v>
      </c>
      <c r="G10" s="133">
        <f t="shared" ref="G10:G21" si="1">(F10*Labor)*SvcGross</f>
        <v>13.125</v>
      </c>
      <c r="H10" s="44">
        <f t="shared" ref="H10:H14" si="2">G10+E10</f>
        <v>79.095000000000027</v>
      </c>
      <c r="I10" s="132">
        <f t="shared" ref="I10:I21" si="3">H10/C10</f>
        <v>4.0917626731090583E-2</v>
      </c>
    </row>
    <row r="11" spans="1:12" ht="15" customHeight="1">
      <c r="A11" s="207" t="s">
        <v>189</v>
      </c>
      <c r="B11" s="154" t="s">
        <v>349</v>
      </c>
      <c r="C11" s="61">
        <v>869.33</v>
      </c>
      <c r="D11" s="61">
        <v>899</v>
      </c>
      <c r="E11" s="176">
        <f t="shared" si="0"/>
        <v>29.669999999999959</v>
      </c>
      <c r="F11" s="118">
        <f>_xlfn.XLOOKUP(A11,'Sierra EV Ref'!A:A,'Sierra EV Ref'!B:B,"")</f>
        <v>0.1</v>
      </c>
      <c r="G11" s="133">
        <f t="shared" si="1"/>
        <v>13.125</v>
      </c>
      <c r="H11" s="44">
        <f t="shared" si="2"/>
        <v>42.794999999999959</v>
      </c>
      <c r="I11" s="132">
        <f t="shared" si="3"/>
        <v>4.9227566056618266E-2</v>
      </c>
    </row>
    <row r="12" spans="1:12" ht="15" customHeight="1">
      <c r="A12" s="207" t="s">
        <v>36</v>
      </c>
      <c r="B12" s="154" t="s">
        <v>153</v>
      </c>
      <c r="C12" s="61">
        <v>256.26</v>
      </c>
      <c r="D12" s="61">
        <v>265</v>
      </c>
      <c r="E12" s="176">
        <f t="shared" si="0"/>
        <v>8.7400000000000091</v>
      </c>
      <c r="F12" s="118">
        <f>_xlfn.XLOOKUP(A12,'Sierra EV Ref'!A:A,'Sierra EV Ref'!B:B,"")</f>
        <v>0.1</v>
      </c>
      <c r="G12" s="133">
        <f t="shared" si="1"/>
        <v>13.125</v>
      </c>
      <c r="H12" s="44">
        <f t="shared" si="2"/>
        <v>21.865000000000009</v>
      </c>
      <c r="I12" s="175">
        <f t="shared" si="3"/>
        <v>8.5323499570748501E-2</v>
      </c>
    </row>
    <row r="13" spans="1:12" ht="15" customHeight="1" thickBot="1">
      <c r="A13" s="207" t="s">
        <v>160</v>
      </c>
      <c r="B13" s="154" t="s">
        <v>161</v>
      </c>
      <c r="C13" s="61">
        <v>285.27</v>
      </c>
      <c r="D13" s="61">
        <v>295</v>
      </c>
      <c r="E13" s="181">
        <f t="shared" si="0"/>
        <v>9.7300000000000182</v>
      </c>
      <c r="F13" s="182">
        <f>_xlfn.XLOOKUP(A13,'Sierra EV Ref'!A:A,'Sierra EV Ref'!B:B,"")</f>
        <v>0.1</v>
      </c>
      <c r="G13" s="183">
        <f t="shared" si="1"/>
        <v>13.125</v>
      </c>
      <c r="H13" s="184">
        <f t="shared" si="2"/>
        <v>22.855000000000018</v>
      </c>
      <c r="I13" s="185">
        <f t="shared" si="3"/>
        <v>8.0117082062607425E-2</v>
      </c>
    </row>
    <row r="14" spans="1:12" ht="15.75" customHeight="1">
      <c r="A14" s="207" t="s">
        <v>191</v>
      </c>
      <c r="B14" s="154" t="s">
        <v>192</v>
      </c>
      <c r="C14" s="61">
        <v>145.05000000000001</v>
      </c>
      <c r="D14" s="61">
        <v>150</v>
      </c>
      <c r="E14" s="186">
        <f t="shared" si="0"/>
        <v>4.9499999999999886</v>
      </c>
      <c r="F14" s="187">
        <f>_xlfn.XLOOKUP(A14,'Sierra EV Ref'!A:A,'Sierra EV Ref'!B:B,"")</f>
        <v>0.1</v>
      </c>
      <c r="G14" s="188">
        <f t="shared" si="1"/>
        <v>13.125</v>
      </c>
      <c r="H14" s="189">
        <f t="shared" si="2"/>
        <v>18.074999999999989</v>
      </c>
      <c r="I14" s="190">
        <f t="shared" si="3"/>
        <v>0.12461220268872794</v>
      </c>
    </row>
    <row r="15" spans="1:12" ht="15.75" customHeight="1">
      <c r="A15" s="207" t="s">
        <v>193</v>
      </c>
      <c r="B15" s="154" t="s">
        <v>351</v>
      </c>
      <c r="C15" s="61">
        <v>265.93</v>
      </c>
      <c r="D15" s="61">
        <v>275</v>
      </c>
      <c r="E15" s="177">
        <f t="shared" ref="E15:E21" si="4">D15-C15</f>
        <v>9.0699999999999932</v>
      </c>
      <c r="F15" s="178">
        <f>_xlfn.XLOOKUP(A15,'Sierra EV Ref'!A:A,'Sierra EV Ref'!B:B,"")</f>
        <v>0.1</v>
      </c>
      <c r="G15" s="142">
        <f t="shared" si="1"/>
        <v>13.125</v>
      </c>
      <c r="H15" s="179">
        <f t="shared" ref="H15:H21" si="5">G15+E15</f>
        <v>22.194999999999993</v>
      </c>
      <c r="I15" s="132">
        <f t="shared" si="3"/>
        <v>8.3461813259128312E-2</v>
      </c>
    </row>
    <row r="16" spans="1:12" ht="15.75" customHeight="1">
      <c r="A16" s="207" t="s">
        <v>110</v>
      </c>
      <c r="B16" s="154" t="s">
        <v>194</v>
      </c>
      <c r="C16" s="61">
        <v>531.85</v>
      </c>
      <c r="D16" s="61">
        <v>550</v>
      </c>
      <c r="E16" s="177">
        <f t="shared" si="4"/>
        <v>18.149999999999977</v>
      </c>
      <c r="F16" s="178">
        <f>_xlfn.XLOOKUP(A16,'Sierra EV Ref'!A:A,'Sierra EV Ref'!B:B,"")</f>
        <v>0.1</v>
      </c>
      <c r="G16" s="142">
        <f t="shared" si="1"/>
        <v>13.125</v>
      </c>
      <c r="H16" s="179">
        <f t="shared" si="5"/>
        <v>31.274999999999977</v>
      </c>
      <c r="I16" s="132">
        <f t="shared" si="3"/>
        <v>5.8804174109241283E-2</v>
      </c>
    </row>
    <row r="17" spans="1:9" ht="15" customHeight="1">
      <c r="A17" s="207" t="s">
        <v>163</v>
      </c>
      <c r="B17" s="154" t="s">
        <v>352</v>
      </c>
      <c r="C17" s="61">
        <v>2175.75</v>
      </c>
      <c r="D17" s="61">
        <v>2250</v>
      </c>
      <c r="E17" s="177">
        <f t="shared" si="4"/>
        <v>74.25</v>
      </c>
      <c r="F17" s="178">
        <f>_xlfn.XLOOKUP(A17,'Sierra EV Ref'!A:A,'Sierra EV Ref'!B:B,"")</f>
        <v>0.8</v>
      </c>
      <c r="G17" s="142">
        <f t="shared" si="1"/>
        <v>105</v>
      </c>
      <c r="H17" s="179">
        <f t="shared" si="5"/>
        <v>179.25</v>
      </c>
      <c r="I17" s="132">
        <f t="shared" si="3"/>
        <v>8.2385384350224064E-2</v>
      </c>
    </row>
    <row r="18" spans="1:9" ht="15" customHeight="1">
      <c r="A18" s="207" t="s">
        <v>165</v>
      </c>
      <c r="B18" s="154" t="s">
        <v>166</v>
      </c>
      <c r="C18" s="61">
        <v>1058.8699999999999</v>
      </c>
      <c r="D18" s="61">
        <v>1095</v>
      </c>
      <c r="E18" s="177">
        <f t="shared" si="4"/>
        <v>36.130000000000109</v>
      </c>
      <c r="F18" s="178">
        <f>_xlfn.XLOOKUP(A18,'Sierra EV Ref'!A:A,'Sierra EV Ref'!B:B,"")</f>
        <v>0.5</v>
      </c>
      <c r="G18" s="142">
        <f t="shared" si="1"/>
        <v>65.625</v>
      </c>
      <c r="H18" s="179">
        <f t="shared" si="5"/>
        <v>101.75500000000011</v>
      </c>
      <c r="I18" s="132">
        <f t="shared" si="3"/>
        <v>9.6097726821989596E-2</v>
      </c>
    </row>
    <row r="19" spans="1:9" ht="15.75" customHeight="1">
      <c r="A19" s="207" t="s">
        <v>39</v>
      </c>
      <c r="B19" s="154" t="s">
        <v>195</v>
      </c>
      <c r="C19" s="61">
        <v>1885.65</v>
      </c>
      <c r="D19" s="61">
        <v>1950</v>
      </c>
      <c r="E19" s="177">
        <f t="shared" si="4"/>
        <v>64.349999999999909</v>
      </c>
      <c r="F19" s="178">
        <f>_xlfn.XLOOKUP(A19,'Sierra EV Ref'!A:A,'Sierra EV Ref'!B:B,"")</f>
        <v>0.6</v>
      </c>
      <c r="G19" s="142">
        <f t="shared" si="1"/>
        <v>78.75</v>
      </c>
      <c r="H19" s="179">
        <f t="shared" si="5"/>
        <v>143.09999999999991</v>
      </c>
      <c r="I19" s="132">
        <f t="shared" si="3"/>
        <v>7.5888950759684937E-2</v>
      </c>
    </row>
    <row r="20" spans="1:9" ht="15" customHeight="1">
      <c r="A20" s="207" t="s">
        <v>40</v>
      </c>
      <c r="B20" s="154" t="s">
        <v>196</v>
      </c>
      <c r="C20" s="61">
        <v>865.47</v>
      </c>
      <c r="D20" s="61">
        <v>895</v>
      </c>
      <c r="E20" s="177">
        <f t="shared" si="4"/>
        <v>29.529999999999973</v>
      </c>
      <c r="F20" s="178">
        <f>_xlfn.XLOOKUP(A20,'Sierra EV Ref'!A:A,'Sierra EV Ref'!B:B,"")</f>
        <v>0.7</v>
      </c>
      <c r="G20" s="142">
        <f t="shared" si="1"/>
        <v>91.874999999999986</v>
      </c>
      <c r="H20" s="179">
        <f t="shared" si="5"/>
        <v>121.40499999999996</v>
      </c>
      <c r="I20" s="130">
        <f t="shared" si="3"/>
        <v>0.14027638161923575</v>
      </c>
    </row>
    <row r="21" spans="1:9" ht="15" customHeight="1">
      <c r="A21" s="207" t="s">
        <v>156</v>
      </c>
      <c r="B21" s="154" t="s">
        <v>168</v>
      </c>
      <c r="C21" s="61">
        <v>241.75</v>
      </c>
      <c r="D21" s="61">
        <v>250</v>
      </c>
      <c r="E21" s="177">
        <f t="shared" si="4"/>
        <v>8.25</v>
      </c>
      <c r="F21" s="178">
        <f>_xlfn.XLOOKUP(A21,'Sierra EV Ref'!A:A,'Sierra EV Ref'!B:B,"")</f>
        <v>0.1</v>
      </c>
      <c r="G21" s="142">
        <f t="shared" si="1"/>
        <v>13.125</v>
      </c>
      <c r="H21" s="179">
        <f t="shared" si="5"/>
        <v>21.375</v>
      </c>
      <c r="I21" s="132">
        <f t="shared" si="3"/>
        <v>8.8417786970010348E-2</v>
      </c>
    </row>
    <row r="22" spans="1:9">
      <c r="F22" s="5"/>
    </row>
    <row r="23" spans="1:9">
      <c r="F23" s="5"/>
    </row>
    <row r="24" spans="1:9">
      <c r="F24" s="5"/>
    </row>
    <row r="60" spans="22:22">
      <c r="V60" s="284"/>
    </row>
  </sheetData>
  <sheetProtection formatCells="0" sort="0" autoFilter="0"/>
  <autoFilter ref="A4:I4" xr:uid="{84F0B422-EF99-4DA4-A61C-611846F23D2E}"/>
  <sortState xmlns:xlrd2="http://schemas.microsoft.com/office/spreadsheetml/2017/richdata2" ref="A14:I17">
    <sortCondition descending="1" ref="I14:I17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scale="68" fitToWidth="0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9315-612D-433F-9EC1-78DB8EC1C3F6}">
  <sheetPr codeName="Sheet6">
    <tabColor theme="4" tint="-0.249977111117893"/>
  </sheetPr>
  <dimension ref="A1:V60"/>
  <sheetViews>
    <sheetView topLeftCell="A28" workbookViewId="0">
      <selection activeCell="O91" sqref="O91"/>
    </sheetView>
  </sheetViews>
  <sheetFormatPr defaultRowHeight="15"/>
  <sheetData>
    <row r="1" spans="1:16">
      <c r="A1" t="s">
        <v>157</v>
      </c>
      <c r="B1">
        <v>0.2</v>
      </c>
    </row>
    <row r="2" spans="1:16">
      <c r="A2" t="s">
        <v>160</v>
      </c>
      <c r="B2">
        <v>0.1</v>
      </c>
    </row>
    <row r="3" spans="1:16">
      <c r="A3" t="s">
        <v>127</v>
      </c>
      <c r="B3">
        <v>0.7</v>
      </c>
    </row>
    <row r="4" spans="1:16">
      <c r="A4" t="s">
        <v>158</v>
      </c>
      <c r="B4">
        <v>0.2</v>
      </c>
    </row>
    <row r="5" spans="1:16">
      <c r="A5" t="s">
        <v>165</v>
      </c>
      <c r="B5">
        <v>0.5</v>
      </c>
    </row>
    <row r="6" spans="1:16">
      <c r="A6" t="s">
        <v>39</v>
      </c>
      <c r="B6">
        <v>0.6</v>
      </c>
    </row>
    <row r="7" spans="1:16">
      <c r="A7" t="s">
        <v>40</v>
      </c>
      <c r="B7">
        <v>0.7</v>
      </c>
    </row>
    <row r="8" spans="1:16">
      <c r="A8" t="s">
        <v>188</v>
      </c>
      <c r="B8">
        <v>0.1</v>
      </c>
    </row>
    <row r="9" spans="1:16">
      <c r="A9" t="s">
        <v>189</v>
      </c>
      <c r="B9">
        <v>0.1</v>
      </c>
      <c r="O9" s="64"/>
      <c r="P9" s="64"/>
    </row>
    <row r="10" spans="1:16">
      <c r="A10" t="s">
        <v>193</v>
      </c>
      <c r="B10">
        <v>0.1</v>
      </c>
      <c r="G10" s="64"/>
      <c r="H10" s="64"/>
    </row>
    <row r="11" spans="1:16">
      <c r="A11" t="s">
        <v>17</v>
      </c>
      <c r="B11">
        <v>0.5</v>
      </c>
      <c r="G11" s="64"/>
      <c r="H11" s="64"/>
    </row>
    <row r="12" spans="1:16">
      <c r="A12" t="s">
        <v>36</v>
      </c>
      <c r="B12">
        <v>0.1</v>
      </c>
      <c r="G12" s="64"/>
      <c r="H12" s="64"/>
    </row>
    <row r="13" spans="1:16">
      <c r="A13" t="s">
        <v>191</v>
      </c>
      <c r="B13">
        <v>0.1</v>
      </c>
      <c r="G13" s="64"/>
      <c r="H13" s="64"/>
    </row>
    <row r="14" spans="1:16">
      <c r="A14" t="s">
        <v>190</v>
      </c>
      <c r="B14">
        <v>0.2</v>
      </c>
      <c r="G14" s="64"/>
      <c r="H14" s="64"/>
    </row>
    <row r="15" spans="1:16">
      <c r="A15" t="s">
        <v>162</v>
      </c>
      <c r="B15">
        <v>0.1</v>
      </c>
      <c r="G15" s="64"/>
      <c r="H15" s="64"/>
    </row>
    <row r="16" spans="1:16">
      <c r="A16" t="s">
        <v>156</v>
      </c>
      <c r="B16">
        <v>0.1</v>
      </c>
      <c r="G16" s="64"/>
      <c r="H16" s="64"/>
    </row>
    <row r="17" spans="1:8">
      <c r="A17" t="s">
        <v>110</v>
      </c>
      <c r="B17">
        <v>0.1</v>
      </c>
      <c r="G17" s="64"/>
      <c r="H17" s="64"/>
    </row>
    <row r="18" spans="1:8">
      <c r="A18" t="s">
        <v>159</v>
      </c>
      <c r="B18">
        <v>0.8</v>
      </c>
    </row>
    <row r="19" spans="1:8">
      <c r="A19" t="s">
        <v>163</v>
      </c>
      <c r="B19">
        <v>0.8</v>
      </c>
    </row>
    <row r="20" spans="1:8">
      <c r="A20" t="s">
        <v>151</v>
      </c>
      <c r="B20">
        <f ca="1">+OFFSET(RIA,0,1)+OFFSET(RYC,0,1)</f>
        <v>0.2</v>
      </c>
    </row>
    <row r="21" spans="1:8">
      <c r="A21" t="s">
        <v>152</v>
      </c>
      <c r="B21" cm="1">
        <f t="array" aca="1" ref="B21" ca="1">+OFFSET(_WH9,0,1)+OFFSET(RSI,0,1)</f>
        <v>0.2</v>
      </c>
    </row>
    <row r="22" spans="1:8">
      <c r="A22" t="s">
        <v>56</v>
      </c>
      <c r="B22">
        <f ca="1">+OFFSET(RVY,0,1)+OFFSET(WI5,0,1)+OFFSET(SK4,0,1)</f>
        <v>0.7</v>
      </c>
    </row>
    <row r="23" spans="1:8">
      <c r="A23" t="s">
        <v>350</v>
      </c>
      <c r="B23">
        <f ca="1">+OFFSET(RIA,0,1)+OFFSET(VOZ,0,1)</f>
        <v>0.7</v>
      </c>
    </row>
    <row r="24" spans="1:8">
      <c r="A24" t="s">
        <v>141</v>
      </c>
      <c r="B24">
        <f ca="1">+OFFSET(RIK,0,1)+OFFSET(SES,0,1)</f>
        <v>1.3</v>
      </c>
    </row>
    <row r="37" spans="1:1">
      <c r="A37" s="64"/>
    </row>
    <row r="38" spans="1:1">
      <c r="A38" s="64"/>
    </row>
    <row r="39" spans="1:1">
      <c r="A39" s="64"/>
    </row>
    <row r="40" spans="1:1">
      <c r="A40" s="64"/>
    </row>
    <row r="41" spans="1:1">
      <c r="A41" s="64"/>
    </row>
    <row r="42" spans="1:1">
      <c r="A42" s="64"/>
    </row>
    <row r="43" spans="1:1">
      <c r="A43" s="64"/>
    </row>
    <row r="44" spans="1:1">
      <c r="A44" s="64"/>
    </row>
    <row r="45" spans="1:1">
      <c r="A45" s="64"/>
    </row>
    <row r="60" spans="22:22">
      <c r="V60" s="284"/>
    </row>
  </sheetData>
  <sortState xmlns:xlrd2="http://schemas.microsoft.com/office/spreadsheetml/2017/richdata2" ref="A1:B36">
    <sortCondition ref="A1:A36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rgb="FFC00000"/>
    <pageSetUpPr fitToPage="1"/>
  </sheetPr>
  <dimension ref="A1:V60"/>
  <sheetViews>
    <sheetView zoomScaleNormal="100" zoomScaleSheetLayoutView="120" workbookViewId="0">
      <pane xSplit="9" ySplit="4" topLeftCell="J5" activePane="bottomRight" state="frozen"/>
      <selection activeCell="O91" sqref="O91"/>
      <selection pane="topRight" activeCell="O91" sqref="O91"/>
      <selection pane="bottomLeft" activeCell="O91" sqref="O91"/>
      <selection pane="bottomRight" sqref="A1:I1"/>
    </sheetView>
  </sheetViews>
  <sheetFormatPr defaultRowHeight="15"/>
  <cols>
    <col min="1" max="1" width="8.7109375" customWidth="1"/>
    <col min="2" max="2" width="41.42578125" bestFit="1" customWidth="1"/>
    <col min="3" max="4" width="12.7109375" style="4" customWidth="1"/>
    <col min="5" max="5" width="12.7109375" style="5" customWidth="1"/>
    <col min="6" max="6" width="12.7109375" style="9" customWidth="1"/>
    <col min="7" max="7" width="12.7109375" style="4" customWidth="1"/>
    <col min="8" max="8" width="12.7109375" style="6" customWidth="1"/>
    <col min="9" max="9" width="12.7109375" style="7" customWidth="1"/>
    <col min="10" max="10" width="9.140625" style="115"/>
    <col min="11" max="11" width="21.42578125" style="115" bestFit="1" customWidth="1"/>
    <col min="12" max="12" width="9.140625" style="115"/>
  </cols>
  <sheetData>
    <row r="1" spans="1:10" ht="24" thickBot="1">
      <c r="A1" s="325" t="s">
        <v>404</v>
      </c>
      <c r="B1" s="310"/>
      <c r="C1" s="310"/>
      <c r="D1" s="310"/>
      <c r="E1" s="310"/>
      <c r="F1" s="310"/>
      <c r="G1" s="310"/>
      <c r="H1" s="310"/>
      <c r="I1" s="311"/>
    </row>
    <row r="2" spans="1:10" ht="12" customHeight="1" thickBot="1">
      <c r="A2" s="57"/>
      <c r="B2" s="57"/>
      <c r="C2" s="58"/>
      <c r="D2" s="58"/>
      <c r="E2" s="58"/>
      <c r="F2" s="58"/>
      <c r="G2" s="58"/>
      <c r="H2" s="237"/>
      <c r="I2" s="115"/>
    </row>
    <row r="3" spans="1:10" ht="24" thickBot="1">
      <c r="A3" s="79"/>
      <c r="B3" s="79"/>
      <c r="C3" s="312" t="s">
        <v>170</v>
      </c>
      <c r="D3" s="314"/>
      <c r="E3" s="313"/>
      <c r="F3" s="312" t="s">
        <v>171</v>
      </c>
      <c r="G3" s="313"/>
      <c r="H3" s="312" t="s">
        <v>172</v>
      </c>
      <c r="I3" s="313"/>
    </row>
    <row r="4" spans="1:10" ht="45.75" customHeight="1">
      <c r="A4" s="33" t="s">
        <v>0</v>
      </c>
      <c r="B4" s="31" t="s">
        <v>1</v>
      </c>
      <c r="C4" s="71" t="s">
        <v>3</v>
      </c>
      <c r="D4" s="72" t="s">
        <v>4</v>
      </c>
      <c r="E4" s="134" t="s">
        <v>6</v>
      </c>
      <c r="F4" s="54" t="s">
        <v>2</v>
      </c>
      <c r="G4" s="136" t="s">
        <v>5</v>
      </c>
      <c r="H4" s="125" t="s">
        <v>7</v>
      </c>
      <c r="I4" s="137" t="s">
        <v>8</v>
      </c>
    </row>
    <row r="5" spans="1:10" ht="15.75" customHeight="1">
      <c r="A5" s="216" t="s">
        <v>56</v>
      </c>
      <c r="B5" s="156" t="s">
        <v>400</v>
      </c>
      <c r="C5" s="70">
        <v>523.25</v>
      </c>
      <c r="D5" s="70">
        <v>575</v>
      </c>
      <c r="E5" s="193">
        <f t="shared" ref="E5:E17" si="0">D5-C5</f>
        <v>51.75</v>
      </c>
      <c r="F5" s="126">
        <f ca="1">_xlfn.XLOOKUP(A5,'Terrain Ref'!A:A,'Terrain Ref'!B:B,"")</f>
        <v>1.2</v>
      </c>
      <c r="G5" s="194">
        <f t="shared" ref="G5:G22" ca="1" si="1">(F5*Labor)*SvcGross</f>
        <v>157.5</v>
      </c>
      <c r="H5" s="127">
        <f t="shared" ref="H5:H17" ca="1" si="2">G5+E5</f>
        <v>209.25</v>
      </c>
      <c r="I5" s="195">
        <f t="shared" ref="I5:I17" ca="1" si="3">H5/C5</f>
        <v>0.39990444338270426</v>
      </c>
    </row>
    <row r="6" spans="1:10" ht="15.75" customHeight="1">
      <c r="A6" s="216" t="s">
        <v>57</v>
      </c>
      <c r="B6" s="156" t="s">
        <v>401</v>
      </c>
      <c r="C6" s="70">
        <v>295.75</v>
      </c>
      <c r="D6" s="70">
        <v>325</v>
      </c>
      <c r="E6" s="193">
        <f t="shared" si="0"/>
        <v>29.25</v>
      </c>
      <c r="F6" s="126">
        <f ca="1">_xlfn.XLOOKUP(A6,'Terrain Ref'!A:A,'Terrain Ref'!B:B,"")</f>
        <v>0.4</v>
      </c>
      <c r="G6" s="194">
        <f t="shared" ca="1" si="1"/>
        <v>52.5</v>
      </c>
      <c r="H6" s="127">
        <f t="shared" ca="1" si="2"/>
        <v>81.75</v>
      </c>
      <c r="I6" s="195">
        <f t="shared" ca="1" si="3"/>
        <v>0.27641589180050719</v>
      </c>
    </row>
    <row r="7" spans="1:10" ht="15.75" customHeight="1">
      <c r="A7" s="216" t="s">
        <v>148</v>
      </c>
      <c r="B7" s="156" t="s">
        <v>402</v>
      </c>
      <c r="C7" s="70">
        <v>318.5</v>
      </c>
      <c r="D7" s="70">
        <v>350</v>
      </c>
      <c r="E7" s="193">
        <f t="shared" si="0"/>
        <v>31.5</v>
      </c>
      <c r="F7" s="126">
        <f ca="1">_xlfn.XLOOKUP(A7,'Terrain Ref'!A:A,'Terrain Ref'!B:B,"")</f>
        <v>0.4</v>
      </c>
      <c r="G7" s="194">
        <f t="shared" ca="1" si="1"/>
        <v>52.5</v>
      </c>
      <c r="H7" s="127">
        <f t="shared" ca="1" si="2"/>
        <v>84</v>
      </c>
      <c r="I7" s="195">
        <f t="shared" ca="1" si="3"/>
        <v>0.26373626373626374</v>
      </c>
    </row>
    <row r="8" spans="1:10" ht="15.75" customHeight="1">
      <c r="A8" s="216" t="s">
        <v>354</v>
      </c>
      <c r="B8" s="156" t="s">
        <v>403</v>
      </c>
      <c r="C8" s="70">
        <v>450.45</v>
      </c>
      <c r="D8" s="70">
        <v>495</v>
      </c>
      <c r="E8" s="193">
        <f t="shared" si="0"/>
        <v>44.550000000000011</v>
      </c>
      <c r="F8" s="126">
        <f ca="1">_xlfn.XLOOKUP(A8,'Terrain Ref'!A:A,'Terrain Ref'!B:B,"")</f>
        <v>1.4</v>
      </c>
      <c r="G8" s="194">
        <f t="shared" ca="1" si="1"/>
        <v>183.74999999999997</v>
      </c>
      <c r="H8" s="127">
        <f t="shared" ca="1" si="2"/>
        <v>228.29999999999998</v>
      </c>
      <c r="I8" s="195">
        <f t="shared" ca="1" si="3"/>
        <v>0.50682650682650676</v>
      </c>
    </row>
    <row r="9" spans="1:10" ht="15.75" customHeight="1">
      <c r="A9" s="207" t="s">
        <v>205</v>
      </c>
      <c r="B9" s="154" t="s">
        <v>353</v>
      </c>
      <c r="C9" s="61">
        <v>159.25</v>
      </c>
      <c r="D9" s="61">
        <v>175</v>
      </c>
      <c r="E9" s="193">
        <f>D9-C9</f>
        <v>15.75</v>
      </c>
      <c r="F9" s="126">
        <f>_xlfn.XLOOKUP(A9,'Terrain Ref'!A:A,'Terrain Ref'!B:B,"")</f>
        <v>0.5</v>
      </c>
      <c r="G9" s="194">
        <f>(F9*Labor)*SvcGross</f>
        <v>65.625</v>
      </c>
      <c r="H9" s="127">
        <f>G9+E9</f>
        <v>81.375</v>
      </c>
      <c r="I9" s="195">
        <f>H9/C9</f>
        <v>0.51098901098901095</v>
      </c>
    </row>
    <row r="10" spans="1:10" ht="15.75" customHeight="1">
      <c r="A10" s="207" t="s">
        <v>36</v>
      </c>
      <c r="B10" s="154" t="s">
        <v>77</v>
      </c>
      <c r="C10" s="61">
        <v>241.15</v>
      </c>
      <c r="D10" s="61">
        <v>265</v>
      </c>
      <c r="E10" s="193">
        <f t="shared" si="0"/>
        <v>23.849999999999994</v>
      </c>
      <c r="F10" s="126">
        <f>_xlfn.XLOOKUP(A10,'Terrain Ref'!A:A,'Terrain Ref'!B:B,"")</f>
        <v>0.2</v>
      </c>
      <c r="G10" s="194">
        <f t="shared" si="1"/>
        <v>26.25</v>
      </c>
      <c r="H10" s="127">
        <f t="shared" si="2"/>
        <v>50.099999999999994</v>
      </c>
      <c r="I10" s="195">
        <f t="shared" si="3"/>
        <v>0.20775450964130207</v>
      </c>
    </row>
    <row r="11" spans="1:10" ht="15.75" customHeight="1">
      <c r="A11" s="207" t="s">
        <v>17</v>
      </c>
      <c r="B11" s="154" t="s">
        <v>224</v>
      </c>
      <c r="C11" s="61">
        <v>159.25</v>
      </c>
      <c r="D11" s="61">
        <v>175</v>
      </c>
      <c r="E11" s="193">
        <f t="shared" si="0"/>
        <v>15.75</v>
      </c>
      <c r="F11" s="126">
        <f>_xlfn.XLOOKUP(A11,'Terrain Ref'!A:A,'Terrain Ref'!B:B,"")</f>
        <v>0.4</v>
      </c>
      <c r="G11" s="194">
        <f t="shared" si="1"/>
        <v>52.5</v>
      </c>
      <c r="H11" s="127">
        <f t="shared" si="2"/>
        <v>68.25</v>
      </c>
      <c r="I11" s="195">
        <f t="shared" si="3"/>
        <v>0.42857142857142855</v>
      </c>
    </row>
    <row r="12" spans="1:10" ht="15.75" customHeight="1">
      <c r="A12" s="207" t="s">
        <v>68</v>
      </c>
      <c r="B12" s="154" t="s">
        <v>355</v>
      </c>
      <c r="C12" s="61">
        <v>159.25</v>
      </c>
      <c r="D12" s="61">
        <v>175</v>
      </c>
      <c r="E12" s="193">
        <f t="shared" si="0"/>
        <v>15.75</v>
      </c>
      <c r="F12" s="126">
        <f>_xlfn.XLOOKUP(A12,'Terrain Ref'!A:A,'Terrain Ref'!B:B,"")</f>
        <v>0.1</v>
      </c>
      <c r="G12" s="194">
        <f t="shared" si="1"/>
        <v>13.125</v>
      </c>
      <c r="H12" s="127">
        <f t="shared" si="2"/>
        <v>28.875</v>
      </c>
      <c r="I12" s="195">
        <f t="shared" si="3"/>
        <v>0.18131868131868131</v>
      </c>
    </row>
    <row r="13" spans="1:10" ht="15.75" customHeight="1">
      <c r="A13" s="207" t="s">
        <v>123</v>
      </c>
      <c r="B13" s="154" t="s">
        <v>147</v>
      </c>
      <c r="C13" s="61">
        <v>723.45</v>
      </c>
      <c r="D13" s="61">
        <v>795</v>
      </c>
      <c r="E13" s="193">
        <f t="shared" si="0"/>
        <v>71.549999999999955</v>
      </c>
      <c r="F13" s="126">
        <f>_xlfn.XLOOKUP(A13,'Terrain Ref'!A:A,'Terrain Ref'!B:B,"")</f>
        <v>1</v>
      </c>
      <c r="G13" s="194">
        <f t="shared" si="1"/>
        <v>131.25</v>
      </c>
      <c r="H13" s="127">
        <f t="shared" si="2"/>
        <v>202.79999999999995</v>
      </c>
      <c r="I13" s="195">
        <f t="shared" si="3"/>
        <v>0.28032345013477084</v>
      </c>
      <c r="J13" s="115" t="s">
        <v>399</v>
      </c>
    </row>
    <row r="14" spans="1:10" ht="15.75" customHeight="1">
      <c r="A14" s="207" t="s">
        <v>15</v>
      </c>
      <c r="B14" s="154" t="s">
        <v>16</v>
      </c>
      <c r="C14" s="61">
        <v>113.75</v>
      </c>
      <c r="D14" s="61">
        <v>125</v>
      </c>
      <c r="E14" s="193">
        <f t="shared" si="0"/>
        <v>11.25</v>
      </c>
      <c r="F14" s="126">
        <f>_xlfn.XLOOKUP(A14,'Terrain Ref'!A:A,'Terrain Ref'!B:B,"")</f>
        <v>0.1</v>
      </c>
      <c r="G14" s="194">
        <f t="shared" si="1"/>
        <v>13.125</v>
      </c>
      <c r="H14" s="127">
        <f t="shared" si="2"/>
        <v>24.375</v>
      </c>
      <c r="I14" s="195">
        <f t="shared" si="3"/>
        <v>0.21428571428571427</v>
      </c>
    </row>
    <row r="15" spans="1:10" ht="15.75" customHeight="1">
      <c r="A15" s="207" t="s">
        <v>12</v>
      </c>
      <c r="B15" s="154" t="s">
        <v>251</v>
      </c>
      <c r="C15" s="61">
        <v>295.75</v>
      </c>
      <c r="D15" s="61">
        <v>325</v>
      </c>
      <c r="E15" s="193">
        <f t="shared" si="0"/>
        <v>29.25</v>
      </c>
      <c r="F15" s="126">
        <f>_xlfn.XLOOKUP(A15,'Terrain Ref'!A:A,'Terrain Ref'!B:B,"")</f>
        <v>1</v>
      </c>
      <c r="G15" s="194">
        <f t="shared" si="1"/>
        <v>131.25</v>
      </c>
      <c r="H15" s="127">
        <f t="shared" si="2"/>
        <v>160.5</v>
      </c>
      <c r="I15" s="195">
        <f t="shared" si="3"/>
        <v>0.54268808114961964</v>
      </c>
    </row>
    <row r="16" spans="1:10" ht="15.75" customHeight="1">
      <c r="A16" s="207" t="s">
        <v>60</v>
      </c>
      <c r="B16" s="154" t="s">
        <v>75</v>
      </c>
      <c r="C16" s="61">
        <v>218.4</v>
      </c>
      <c r="D16" s="61">
        <v>240</v>
      </c>
      <c r="E16" s="193">
        <f t="shared" si="0"/>
        <v>21.599999999999994</v>
      </c>
      <c r="F16" s="126">
        <f>_xlfn.XLOOKUP(A16,'Terrain Ref'!A:A,'Terrain Ref'!B:B,"")</f>
        <v>0.2</v>
      </c>
      <c r="G16" s="194">
        <f t="shared" si="1"/>
        <v>26.25</v>
      </c>
      <c r="H16" s="127">
        <f t="shared" si="2"/>
        <v>47.849999999999994</v>
      </c>
      <c r="I16" s="195">
        <f t="shared" si="3"/>
        <v>0.21909340659340656</v>
      </c>
    </row>
    <row r="17" spans="1:9" ht="15.75" customHeight="1">
      <c r="A17" s="207" t="s">
        <v>62</v>
      </c>
      <c r="B17" s="154" t="s">
        <v>356</v>
      </c>
      <c r="C17" s="61">
        <v>86.45</v>
      </c>
      <c r="D17" s="61">
        <v>95</v>
      </c>
      <c r="E17" s="193">
        <f t="shared" si="0"/>
        <v>8.5499999999999972</v>
      </c>
      <c r="F17" s="126">
        <f>_xlfn.XLOOKUP(A17,'Terrain Ref'!A:A,'Terrain Ref'!B:B,"")</f>
        <v>0.1</v>
      </c>
      <c r="G17" s="194">
        <f t="shared" si="1"/>
        <v>13.125</v>
      </c>
      <c r="H17" s="127">
        <f t="shared" si="2"/>
        <v>21.674999999999997</v>
      </c>
      <c r="I17" s="195">
        <f t="shared" si="3"/>
        <v>0.25072296124927701</v>
      </c>
    </row>
    <row r="18" spans="1:9" ht="15.75" customHeight="1">
      <c r="A18" s="207" t="s">
        <v>19</v>
      </c>
      <c r="B18" s="154" t="s">
        <v>67</v>
      </c>
      <c r="C18" s="61">
        <v>409.5</v>
      </c>
      <c r="D18" s="61">
        <v>450</v>
      </c>
      <c r="E18" s="193">
        <f t="shared" ref="E18:E22" si="4">D18-C18</f>
        <v>40.5</v>
      </c>
      <c r="F18" s="126">
        <f>_xlfn.XLOOKUP(A18,'Terrain Ref'!A:A,'Terrain Ref'!B:B,"")</f>
        <v>0.2</v>
      </c>
      <c r="G18" s="194">
        <f t="shared" si="1"/>
        <v>26.25</v>
      </c>
      <c r="H18" s="127">
        <f t="shared" ref="H18:H22" si="5">G18+E18</f>
        <v>66.75</v>
      </c>
      <c r="I18" s="195">
        <f t="shared" ref="I18:I22" si="6">H18/C18</f>
        <v>0.16300366300366301</v>
      </c>
    </row>
    <row r="19" spans="1:9" ht="15.75" customHeight="1">
      <c r="A19" s="207" t="s">
        <v>10</v>
      </c>
      <c r="B19" s="154" t="s">
        <v>357</v>
      </c>
      <c r="C19" s="61">
        <v>268.45</v>
      </c>
      <c r="D19" s="61">
        <v>295</v>
      </c>
      <c r="E19" s="193">
        <f t="shared" si="4"/>
        <v>26.550000000000011</v>
      </c>
      <c r="F19" s="126">
        <f>_xlfn.XLOOKUP(A19,'Terrain Ref'!A:A,'Terrain Ref'!B:B,"")</f>
        <v>1</v>
      </c>
      <c r="G19" s="194">
        <f t="shared" si="1"/>
        <v>131.25</v>
      </c>
      <c r="H19" s="127">
        <f t="shared" si="5"/>
        <v>157.80000000000001</v>
      </c>
      <c r="I19" s="195">
        <f t="shared" si="6"/>
        <v>0.58781896070031669</v>
      </c>
    </row>
    <row r="20" spans="1:9" ht="15.75" customHeight="1">
      <c r="A20" s="207" t="s">
        <v>63</v>
      </c>
      <c r="B20" s="154" t="s">
        <v>358</v>
      </c>
      <c r="C20" s="61">
        <v>177.45</v>
      </c>
      <c r="D20" s="61">
        <v>195</v>
      </c>
      <c r="E20" s="193">
        <f t="shared" si="4"/>
        <v>17.550000000000011</v>
      </c>
      <c r="F20" s="126">
        <f>_xlfn.XLOOKUP(A20,'Terrain Ref'!A:A,'Terrain Ref'!B:B,"")</f>
        <v>0.2</v>
      </c>
      <c r="G20" s="194">
        <f t="shared" si="1"/>
        <v>26.25</v>
      </c>
      <c r="H20" s="127">
        <f t="shared" si="5"/>
        <v>43.800000000000011</v>
      </c>
      <c r="I20" s="195">
        <f t="shared" si="6"/>
        <v>0.24683009298393921</v>
      </c>
    </row>
    <row r="21" spans="1:9">
      <c r="A21" s="207" t="s">
        <v>65</v>
      </c>
      <c r="B21" s="154" t="s">
        <v>66</v>
      </c>
      <c r="C21" s="61">
        <v>86.45</v>
      </c>
      <c r="D21" s="61">
        <v>95</v>
      </c>
      <c r="E21" s="193">
        <f t="shared" si="4"/>
        <v>8.5499999999999972</v>
      </c>
      <c r="F21" s="126">
        <f>_xlfn.XLOOKUP(A21,'Terrain Ref'!A:A,'Terrain Ref'!B:B,"")</f>
        <v>0.2</v>
      </c>
      <c r="G21" s="194">
        <f t="shared" si="1"/>
        <v>26.25</v>
      </c>
      <c r="H21" s="127">
        <f t="shared" si="5"/>
        <v>34.799999999999997</v>
      </c>
      <c r="I21" s="195">
        <f t="shared" si="6"/>
        <v>0.40254482359745514</v>
      </c>
    </row>
    <row r="22" spans="1:9">
      <c r="A22" s="207" t="s">
        <v>13</v>
      </c>
      <c r="B22" s="154" t="s">
        <v>359</v>
      </c>
      <c r="C22" s="61">
        <v>86.45</v>
      </c>
      <c r="D22" s="61">
        <v>95</v>
      </c>
      <c r="E22" s="193">
        <f t="shared" si="4"/>
        <v>8.5499999999999972</v>
      </c>
      <c r="F22" s="126">
        <f>_xlfn.XLOOKUP(A22,'Terrain Ref'!A:A,'Terrain Ref'!B:B,"")</f>
        <v>0.2</v>
      </c>
      <c r="G22" s="194">
        <f t="shared" si="1"/>
        <v>26.25</v>
      </c>
      <c r="H22" s="127">
        <f t="shared" si="5"/>
        <v>34.799999999999997</v>
      </c>
      <c r="I22" s="195">
        <f t="shared" si="6"/>
        <v>0.40254482359745514</v>
      </c>
    </row>
    <row r="23" spans="1:9">
      <c r="A23" s="115"/>
      <c r="B23" s="115"/>
      <c r="C23" s="121"/>
      <c r="D23" s="121"/>
      <c r="E23" s="20"/>
      <c r="F23" s="122"/>
      <c r="G23" s="121"/>
      <c r="H23" s="123"/>
      <c r="I23" s="124"/>
    </row>
    <row r="24" spans="1:9">
      <c r="A24" s="115"/>
      <c r="B24" s="115"/>
      <c r="C24" s="121"/>
      <c r="D24" s="121"/>
      <c r="E24" s="20"/>
      <c r="F24" s="122"/>
      <c r="G24" s="121"/>
      <c r="H24" s="123"/>
      <c r="I24" s="124"/>
    </row>
    <row r="25" spans="1:9">
      <c r="A25" s="115"/>
      <c r="B25" s="115"/>
      <c r="C25" s="121"/>
      <c r="D25" s="121"/>
      <c r="E25" s="20"/>
      <c r="F25" s="122"/>
      <c r="G25" s="121"/>
      <c r="H25" s="123"/>
      <c r="I25" s="124"/>
    </row>
    <row r="26" spans="1:9">
      <c r="A26" s="115"/>
      <c r="B26" s="115"/>
      <c r="C26" s="121"/>
      <c r="D26" s="121"/>
      <c r="E26" s="20"/>
      <c r="F26" s="122"/>
      <c r="G26" s="121"/>
      <c r="H26" s="123"/>
      <c r="I26" s="124"/>
    </row>
    <row r="27" spans="1:9">
      <c r="A27" s="115"/>
      <c r="B27" s="115"/>
      <c r="C27" s="121"/>
      <c r="D27" s="121"/>
      <c r="E27" s="20"/>
      <c r="F27" s="122"/>
      <c r="G27" s="121"/>
      <c r="H27" s="123"/>
      <c r="I27" s="124"/>
    </row>
    <row r="28" spans="1:9">
      <c r="A28" s="115"/>
      <c r="B28" s="115"/>
      <c r="C28" s="121"/>
      <c r="D28" s="121"/>
      <c r="E28" s="20"/>
      <c r="F28" s="122"/>
      <c r="G28" s="121"/>
      <c r="H28" s="123"/>
      <c r="I28" s="124"/>
    </row>
    <row r="29" spans="1:9">
      <c r="A29" s="115"/>
      <c r="B29" s="115"/>
      <c r="C29" s="121"/>
      <c r="D29" s="121"/>
      <c r="E29" s="20"/>
      <c r="F29" s="122"/>
      <c r="G29" s="121"/>
      <c r="H29" s="123"/>
      <c r="I29" s="124"/>
    </row>
    <row r="30" spans="1:9">
      <c r="A30" s="115"/>
      <c r="B30" s="115"/>
      <c r="C30" s="121"/>
      <c r="D30" s="121"/>
      <c r="E30" s="20"/>
      <c r="F30" s="122"/>
      <c r="G30" s="121"/>
      <c r="H30" s="123"/>
      <c r="I30" s="124"/>
    </row>
    <row r="31" spans="1:9">
      <c r="A31" s="115"/>
      <c r="B31" s="115"/>
      <c r="C31" s="121"/>
      <c r="D31" s="121"/>
      <c r="E31" s="20"/>
      <c r="F31" s="122"/>
      <c r="G31" s="121"/>
      <c r="H31" s="123"/>
      <c r="I31" s="124"/>
    </row>
    <row r="32" spans="1:9">
      <c r="A32" s="115"/>
      <c r="B32" s="115"/>
      <c r="C32" s="121"/>
      <c r="D32" s="121"/>
      <c r="E32" s="20"/>
      <c r="F32" s="122"/>
      <c r="G32" s="121"/>
      <c r="H32" s="123"/>
      <c r="I32" s="124"/>
    </row>
    <row r="33" spans="1:9">
      <c r="A33" s="115"/>
      <c r="B33" s="115"/>
      <c r="C33" s="121"/>
      <c r="D33" s="121"/>
      <c r="E33" s="20"/>
      <c r="F33" s="122"/>
      <c r="G33" s="121"/>
      <c r="H33" s="123"/>
      <c r="I33" s="124"/>
    </row>
    <row r="34" spans="1:9">
      <c r="A34" s="115"/>
      <c r="B34" s="115"/>
      <c r="C34" s="121"/>
      <c r="D34" s="121"/>
      <c r="E34" s="20"/>
      <c r="F34" s="122"/>
      <c r="G34" s="121"/>
      <c r="H34" s="123"/>
      <c r="I34" s="124"/>
    </row>
    <row r="35" spans="1:9">
      <c r="A35" s="115"/>
      <c r="B35" s="115"/>
      <c r="C35" s="121"/>
      <c r="D35" s="121"/>
      <c r="E35" s="20"/>
      <c r="F35" s="122"/>
      <c r="G35" s="121"/>
      <c r="H35" s="123"/>
      <c r="I35" s="124"/>
    </row>
    <row r="36" spans="1:9">
      <c r="A36" s="115"/>
      <c r="B36" s="115"/>
      <c r="C36" s="121"/>
      <c r="D36" s="121"/>
      <c r="E36" s="20"/>
      <c r="F36" s="122"/>
      <c r="G36" s="121"/>
      <c r="H36" s="123"/>
      <c r="I36" s="124"/>
    </row>
    <row r="37" spans="1:9">
      <c r="A37" s="115"/>
      <c r="B37" s="115"/>
      <c r="C37" s="121"/>
      <c r="D37" s="121"/>
      <c r="E37" s="20"/>
      <c r="F37" s="122"/>
      <c r="G37" s="121"/>
      <c r="H37" s="123"/>
      <c r="I37" s="124"/>
    </row>
    <row r="38" spans="1:9">
      <c r="A38" s="115"/>
      <c r="B38" s="115"/>
      <c r="C38" s="121"/>
      <c r="D38" s="121"/>
      <c r="E38" s="20"/>
      <c r="F38" s="122"/>
      <c r="G38" s="121"/>
      <c r="H38" s="123"/>
      <c r="I38" s="124"/>
    </row>
    <row r="39" spans="1:9">
      <c r="A39" s="115"/>
      <c r="B39" s="115"/>
      <c r="C39" s="121"/>
      <c r="D39" s="121"/>
      <c r="E39" s="20"/>
      <c r="F39" s="122"/>
      <c r="G39" s="121"/>
      <c r="H39" s="123"/>
      <c r="I39" s="124"/>
    </row>
    <row r="40" spans="1:9">
      <c r="A40" s="115"/>
      <c r="B40" s="115"/>
      <c r="C40" s="121"/>
      <c r="D40" s="121"/>
      <c r="E40" s="20"/>
      <c r="F40" s="122"/>
      <c r="G40" s="121"/>
      <c r="H40" s="123"/>
      <c r="I40" s="124"/>
    </row>
    <row r="41" spans="1:9">
      <c r="A41" s="115"/>
      <c r="B41" s="115"/>
      <c r="C41" s="121"/>
      <c r="D41" s="121"/>
      <c r="E41" s="20"/>
      <c r="F41" s="122"/>
      <c r="G41" s="121"/>
      <c r="H41" s="123"/>
      <c r="I41" s="124"/>
    </row>
    <row r="42" spans="1:9">
      <c r="A42" s="115"/>
      <c r="B42" s="115"/>
      <c r="C42" s="121"/>
      <c r="D42" s="121"/>
      <c r="E42" s="20"/>
      <c r="F42" s="122"/>
      <c r="G42" s="121"/>
      <c r="H42" s="123"/>
      <c r="I42" s="124"/>
    </row>
    <row r="43" spans="1:9">
      <c r="A43" s="115"/>
      <c r="B43" s="115"/>
      <c r="C43" s="121"/>
      <c r="D43" s="121"/>
      <c r="E43" s="20"/>
      <c r="F43" s="122"/>
      <c r="G43" s="121"/>
      <c r="H43" s="123"/>
      <c r="I43" s="124"/>
    </row>
    <row r="44" spans="1:9">
      <c r="A44" s="115"/>
      <c r="B44" s="115"/>
      <c r="C44" s="121"/>
      <c r="D44" s="121"/>
      <c r="E44" s="20"/>
      <c r="F44" s="122"/>
      <c r="G44" s="121"/>
      <c r="H44" s="123"/>
      <c r="I44" s="124"/>
    </row>
    <row r="45" spans="1:9">
      <c r="A45" s="115"/>
      <c r="B45" s="115"/>
      <c r="C45" s="121"/>
      <c r="D45" s="121"/>
      <c r="E45" s="20"/>
      <c r="F45" s="122"/>
      <c r="G45" s="121"/>
      <c r="H45" s="123"/>
      <c r="I45" s="124"/>
    </row>
    <row r="46" spans="1:9">
      <c r="A46" s="115"/>
      <c r="B46" s="115"/>
      <c r="C46" s="121"/>
      <c r="D46" s="121"/>
      <c r="E46" s="20"/>
      <c r="F46" s="122"/>
      <c r="G46" s="121"/>
      <c r="H46" s="123"/>
      <c r="I46" s="124"/>
    </row>
    <row r="47" spans="1:9">
      <c r="A47" s="115"/>
      <c r="B47" s="115"/>
      <c r="C47" s="121"/>
      <c r="D47" s="121"/>
      <c r="E47" s="20"/>
      <c r="F47" s="122"/>
      <c r="G47" s="121"/>
      <c r="H47" s="123"/>
      <c r="I47" s="124"/>
    </row>
    <row r="48" spans="1:9">
      <c r="A48" s="115"/>
      <c r="B48" s="115"/>
      <c r="C48" s="121"/>
      <c r="D48" s="121"/>
      <c r="E48" s="20"/>
      <c r="F48" s="122"/>
      <c r="G48" s="121"/>
      <c r="H48" s="123"/>
      <c r="I48" s="124"/>
    </row>
    <row r="49" spans="1:22">
      <c r="A49" s="115"/>
      <c r="B49" s="115"/>
      <c r="C49" s="121"/>
      <c r="D49" s="121"/>
      <c r="E49" s="20"/>
      <c r="F49" s="122"/>
      <c r="G49" s="121"/>
      <c r="H49" s="123"/>
      <c r="I49" s="124"/>
    </row>
    <row r="50" spans="1:22">
      <c r="A50" s="115"/>
      <c r="B50" s="115"/>
      <c r="C50" s="121"/>
      <c r="D50" s="121"/>
      <c r="E50" s="20"/>
      <c r="F50" s="122"/>
      <c r="G50" s="121"/>
      <c r="H50" s="123"/>
      <c r="I50" s="124"/>
    </row>
    <row r="51" spans="1:22">
      <c r="A51" s="115"/>
      <c r="B51" s="115"/>
      <c r="C51" s="121"/>
      <c r="D51" s="121"/>
      <c r="E51" s="20"/>
      <c r="F51" s="122"/>
      <c r="G51" s="121"/>
      <c r="H51" s="123"/>
      <c r="I51" s="124"/>
    </row>
    <row r="52" spans="1:22">
      <c r="A52" s="115"/>
      <c r="B52" s="115"/>
      <c r="C52" s="121"/>
      <c r="D52" s="121"/>
      <c r="E52" s="20"/>
      <c r="F52" s="122"/>
      <c r="G52" s="121"/>
      <c r="H52" s="123"/>
      <c r="I52" s="124"/>
    </row>
    <row r="53" spans="1:22">
      <c r="A53" s="115"/>
      <c r="B53" s="115"/>
      <c r="C53" s="121"/>
      <c r="D53" s="121"/>
      <c r="E53" s="20"/>
      <c r="F53" s="122"/>
      <c r="G53" s="121"/>
      <c r="H53" s="123"/>
      <c r="I53" s="124"/>
    </row>
    <row r="54" spans="1:22">
      <c r="A54" s="115"/>
      <c r="B54" s="115"/>
      <c r="C54" s="121"/>
      <c r="D54" s="121"/>
      <c r="E54" s="20"/>
      <c r="F54" s="122"/>
      <c r="G54" s="121"/>
      <c r="H54" s="123"/>
      <c r="I54" s="124"/>
    </row>
    <row r="55" spans="1:22">
      <c r="A55" s="115"/>
      <c r="B55" s="115"/>
      <c r="C55" s="121"/>
      <c r="D55" s="121"/>
      <c r="E55" s="20"/>
      <c r="F55" s="122"/>
      <c r="G55" s="121"/>
      <c r="H55" s="123"/>
      <c r="I55" s="124"/>
    </row>
    <row r="56" spans="1:22">
      <c r="A56" s="115"/>
      <c r="B56" s="115"/>
      <c r="C56" s="121"/>
      <c r="D56" s="121"/>
      <c r="E56" s="20"/>
      <c r="F56" s="122"/>
      <c r="G56" s="121"/>
      <c r="H56" s="123"/>
      <c r="I56" s="124"/>
    </row>
    <row r="57" spans="1:22">
      <c r="A57" s="115"/>
      <c r="B57" s="115"/>
      <c r="C57" s="121"/>
      <c r="D57" s="121"/>
      <c r="E57" s="20"/>
      <c r="F57" s="122"/>
      <c r="G57" s="121"/>
      <c r="H57" s="123"/>
      <c r="I57" s="124"/>
    </row>
    <row r="58" spans="1:22">
      <c r="A58" s="115"/>
      <c r="B58" s="115"/>
      <c r="C58" s="121"/>
      <c r="D58" s="121"/>
      <c r="E58" s="20"/>
      <c r="F58" s="122"/>
      <c r="G58" s="121"/>
      <c r="H58" s="123"/>
      <c r="I58" s="124"/>
    </row>
    <row r="59" spans="1:22">
      <c r="A59" s="115"/>
      <c r="B59" s="115"/>
      <c r="C59" s="121"/>
      <c r="D59" s="121"/>
      <c r="E59" s="20"/>
      <c r="F59" s="122"/>
      <c r="G59" s="121"/>
      <c r="H59" s="123"/>
      <c r="I59" s="124"/>
    </row>
    <row r="60" spans="1:22">
      <c r="A60" s="115"/>
      <c r="B60" s="115"/>
      <c r="C60" s="121"/>
      <c r="D60" s="121"/>
      <c r="E60" s="20"/>
      <c r="F60" s="122"/>
      <c r="G60" s="121"/>
      <c r="H60" s="123"/>
      <c r="I60" s="124"/>
      <c r="V60" s="284"/>
    </row>
  </sheetData>
  <autoFilter ref="A4:I4" xr:uid="{00000000-0001-0000-0200-000000000000}"/>
  <sortState xmlns:xlrd2="http://schemas.microsoft.com/office/spreadsheetml/2017/richdata2" ref="A5:I17">
    <sortCondition descending="1" ref="I5:I17"/>
  </sortState>
  <mergeCells count="4">
    <mergeCell ref="A1:I1"/>
    <mergeCell ref="C3:E3"/>
    <mergeCell ref="F3:G3"/>
    <mergeCell ref="H3:I3"/>
  </mergeCells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F2DAD-3C89-434E-8FAF-11995799FF0D}">
  <sheetPr codeName="Sheet8">
    <tabColor theme="4" tint="-0.249977111117893"/>
  </sheetPr>
  <dimension ref="A1:V60"/>
  <sheetViews>
    <sheetView topLeftCell="A25" workbookViewId="0">
      <selection activeCell="O91" sqref="O91"/>
    </sheetView>
  </sheetViews>
  <sheetFormatPr defaultRowHeight="15"/>
  <sheetData>
    <row r="1" spans="1:8">
      <c r="A1" t="s">
        <v>17</v>
      </c>
      <c r="B1">
        <v>0.4</v>
      </c>
    </row>
    <row r="2" spans="1:8">
      <c r="A2" t="s">
        <v>12</v>
      </c>
      <c r="B2">
        <v>1</v>
      </c>
    </row>
    <row r="3" spans="1:8">
      <c r="A3" t="s">
        <v>10</v>
      </c>
      <c r="B3">
        <v>1</v>
      </c>
    </row>
    <row r="4" spans="1:8">
      <c r="A4" t="s">
        <v>19</v>
      </c>
      <c r="B4">
        <v>0.2</v>
      </c>
    </row>
    <row r="5" spans="1:8">
      <c r="A5" t="s">
        <v>36</v>
      </c>
      <c r="B5">
        <v>0.2</v>
      </c>
    </row>
    <row r="6" spans="1:8">
      <c r="A6" t="s">
        <v>201</v>
      </c>
      <c r="B6">
        <v>0.1</v>
      </c>
      <c r="G6" s="64"/>
      <c r="H6" s="64"/>
    </row>
    <row r="7" spans="1:8">
      <c r="A7" t="s">
        <v>60</v>
      </c>
      <c r="B7">
        <v>0.2</v>
      </c>
      <c r="G7" s="64"/>
      <c r="H7" s="64"/>
    </row>
    <row r="8" spans="1:8">
      <c r="A8" t="s">
        <v>68</v>
      </c>
      <c r="B8">
        <v>0.1</v>
      </c>
      <c r="G8" s="64"/>
      <c r="H8" s="64"/>
    </row>
    <row r="9" spans="1:8">
      <c r="A9" t="s">
        <v>62</v>
      </c>
      <c r="B9">
        <v>0.1</v>
      </c>
      <c r="G9" s="64"/>
      <c r="H9" s="64"/>
    </row>
    <row r="10" spans="1:8">
      <c r="A10" t="s">
        <v>63</v>
      </c>
      <c r="B10">
        <v>0.2</v>
      </c>
    </row>
    <row r="11" spans="1:8">
      <c r="A11" t="s">
        <v>65</v>
      </c>
      <c r="B11">
        <v>0.2</v>
      </c>
    </row>
    <row r="12" spans="1:8">
      <c r="A12" t="s">
        <v>13</v>
      </c>
      <c r="B12">
        <v>0.2</v>
      </c>
    </row>
    <row r="13" spans="1:8">
      <c r="A13" t="s">
        <v>15</v>
      </c>
      <c r="B13">
        <v>0.1</v>
      </c>
    </row>
    <row r="14" spans="1:8">
      <c r="A14" t="s">
        <v>205</v>
      </c>
      <c r="B14">
        <v>0.5</v>
      </c>
    </row>
    <row r="15" spans="1:8">
      <c r="A15" t="s">
        <v>56</v>
      </c>
      <c r="B15">
        <f ca="1">+OFFSET(VLL,0,1)+OFFSET(VQK,0,1)</f>
        <v>1.2</v>
      </c>
    </row>
    <row r="16" spans="1:8" ht="14.25" customHeight="1">
      <c r="A16" t="s">
        <v>57</v>
      </c>
      <c r="B16">
        <f ca="1">+OFFSET(VLI,0,1)+OFFSET(VAV,0,1)+OFFSET(RIS,0,1)</f>
        <v>0.4</v>
      </c>
    </row>
    <row r="17" spans="1:2">
      <c r="A17" t="s">
        <v>148</v>
      </c>
      <c r="B17">
        <f ca="1">+OFFSET(RIA,0,1)+OFFSET(RIS,0,1)+OFFSET(VLI,0,1)</f>
        <v>0.4</v>
      </c>
    </row>
    <row r="18" spans="1:2">
      <c r="A18" t="s">
        <v>354</v>
      </c>
      <c r="B18">
        <f ca="1">+OFFSET(RIK,0,1)+OFFSET(SFZ,0,1)</f>
        <v>1.4</v>
      </c>
    </row>
    <row r="19" spans="1:2">
      <c r="A19" t="s">
        <v>123</v>
      </c>
      <c r="B19">
        <v>1</v>
      </c>
    </row>
    <row r="60" spans="22:22">
      <c r="V60" s="28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5E0523921ED247BAD1EC3E261A1291" ma:contentTypeVersion="16" ma:contentTypeDescription="Create a new document." ma:contentTypeScope="" ma:versionID="6795af46ad588133f7b915df4c75dbaf">
  <xsd:schema xmlns:xsd="http://www.w3.org/2001/XMLSchema" xmlns:xs="http://www.w3.org/2001/XMLSchema" xmlns:p="http://schemas.microsoft.com/office/2006/metadata/properties" xmlns:ns3="bad8c4ec-d690-44df-943a-494ca644f03e" xmlns:ns4="a784684e-3ba4-4789-a7c8-c609cf01cbb4" targetNamespace="http://schemas.microsoft.com/office/2006/metadata/properties" ma:root="true" ma:fieldsID="6e41c22f56935c7939b370839264c00c" ns3:_="" ns4:_="">
    <xsd:import namespace="bad8c4ec-d690-44df-943a-494ca644f03e"/>
    <xsd:import namespace="a784684e-3ba4-4789-a7c8-c609cf01cbb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8c4ec-d690-44df-943a-494ca644f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84684e-3ba4-4789-a7c8-c609cf01cbb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ad8c4ec-d690-44df-943a-494ca644f03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81B604-6522-4BD7-9537-6C70BB023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d8c4ec-d690-44df-943a-494ca644f03e"/>
    <ds:schemaRef ds:uri="a784684e-3ba4-4789-a7c8-c609cf01cb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0EAE74-5EE9-44E9-8913-45348D538810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a784684e-3ba4-4789-a7c8-c609cf01cbb4"/>
    <ds:schemaRef ds:uri="bad8c4ec-d690-44df-943a-494ca644f03e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B2CBAF2-F44F-4BE9-99D9-B51D9FB4E3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350</vt:i4>
      </vt:variant>
    </vt:vector>
  </HeadingPairs>
  <TitlesOfParts>
    <vt:vector size="369" baseType="lpstr">
      <vt:lpstr>Home</vt:lpstr>
      <vt:lpstr>2026 Sierra LD</vt:lpstr>
      <vt:lpstr>Sierra LD Ref</vt:lpstr>
      <vt:lpstr>2026 Sierra HD</vt:lpstr>
      <vt:lpstr>Sierra HD Ref</vt:lpstr>
      <vt:lpstr>2026 Sierra EV</vt:lpstr>
      <vt:lpstr>Sierra EV Ref</vt:lpstr>
      <vt:lpstr>26 Terrain</vt:lpstr>
      <vt:lpstr>Terrain Ref</vt:lpstr>
      <vt:lpstr>26 Hummer SUT </vt:lpstr>
      <vt:lpstr>26 Hummer SUT Ref</vt:lpstr>
      <vt:lpstr>26 Hummer SUV</vt:lpstr>
      <vt:lpstr>Hummer SUV Ref</vt:lpstr>
      <vt:lpstr>26 Canyon</vt:lpstr>
      <vt:lpstr>Canyon Ref</vt:lpstr>
      <vt:lpstr>26 Acadia</vt:lpstr>
      <vt:lpstr>Acadia Ref</vt:lpstr>
      <vt:lpstr>26 Yukon-XL</vt:lpstr>
      <vt:lpstr>Yukon Ref</vt:lpstr>
      <vt:lpstr>__r88</vt:lpstr>
      <vt:lpstr>_5FF</vt:lpstr>
      <vt:lpstr>_5FG</vt:lpstr>
      <vt:lpstr>_5JL</vt:lpstr>
      <vt:lpstr>_5km</vt:lpstr>
      <vt:lpstr>_5Ru</vt:lpstr>
      <vt:lpstr>'Canyon Ref'!_5WI</vt:lpstr>
      <vt:lpstr>_5WI</vt:lpstr>
      <vt:lpstr>_5Y2</vt:lpstr>
      <vt:lpstr>_5ZS</vt:lpstr>
      <vt:lpstr>_63G</vt:lpstr>
      <vt:lpstr>_qb1</vt:lpstr>
      <vt:lpstr>_qb3</vt:lpstr>
      <vt:lpstr>'Yukon Ref'!_R88</vt:lpstr>
      <vt:lpstr>_r88</vt:lpstr>
      <vt:lpstr>_RN2</vt:lpstr>
      <vt:lpstr>_rz9</vt:lpstr>
      <vt:lpstr>_sc8</vt:lpstr>
      <vt:lpstr>_SC9</vt:lpstr>
      <vt:lpstr>_SCP</vt:lpstr>
      <vt:lpstr>_SD1</vt:lpstr>
      <vt:lpstr>_sl7</vt:lpstr>
      <vt:lpstr>_VW1</vt:lpstr>
      <vt:lpstr>_WH9</vt:lpstr>
      <vt:lpstr>'Canyon Ref'!AAK</vt:lpstr>
      <vt:lpstr>'Sierra HD Ref'!AAK</vt:lpstr>
      <vt:lpstr>'Sierra LD Ref'!AAK</vt:lpstr>
      <vt:lpstr>'Yukon Ref'!AAK</vt:lpstr>
      <vt:lpstr>AAK</vt:lpstr>
      <vt:lpstr>'Sierra HD Ref'!AAO</vt:lpstr>
      <vt:lpstr>'Sierra LD Ref'!AAO</vt:lpstr>
      <vt:lpstr>'26 Hummer SUT Ref'!BJ</vt:lpstr>
      <vt:lpstr>'Acadia Ref'!CAV</vt:lpstr>
      <vt:lpstr>'Hummer SUV Ref'!CAV</vt:lpstr>
      <vt:lpstr>'Yukon Ref'!CAV</vt:lpstr>
      <vt:lpstr>CAV</vt:lpstr>
      <vt:lpstr>EU2_</vt:lpstr>
      <vt:lpstr>Labor</vt:lpstr>
      <vt:lpstr>'Sierra LD Ref'!NAA</vt:lpstr>
      <vt:lpstr>'Sierra HD Ref'!PDV</vt:lpstr>
      <vt:lpstr>'Sierra LD Ref'!PDV</vt:lpstr>
      <vt:lpstr>'2026 Sierra HD'!Print_Area</vt:lpstr>
      <vt:lpstr>'2026 Sierra LD'!Print_Area</vt:lpstr>
      <vt:lpstr>'26 Acadia'!Print_Area</vt:lpstr>
      <vt:lpstr>'26 Canyon'!Print_Area</vt:lpstr>
      <vt:lpstr>'26 Hummer SUT '!Print_Area</vt:lpstr>
      <vt:lpstr>'26 Hummer SUV'!Print_Area</vt:lpstr>
      <vt:lpstr>'26 Terrain'!Print_Area</vt:lpstr>
      <vt:lpstr>'26 Yukon-XL'!Print_Area</vt:lpstr>
      <vt:lpstr>RDI</vt:lpstr>
      <vt:lpstr>'Acadia Ref'!RIA</vt:lpstr>
      <vt:lpstr>'Canyon Ref'!RIA</vt:lpstr>
      <vt:lpstr>'Sierra EV Ref'!RIA</vt:lpstr>
      <vt:lpstr>'Sierra HD Ref'!RIA</vt:lpstr>
      <vt:lpstr>'Sierra LD Ref'!RIA</vt:lpstr>
      <vt:lpstr>'Terrain Ref'!RIA</vt:lpstr>
      <vt:lpstr>'Yukon Ref'!RIA</vt:lpstr>
      <vt:lpstr>RIA</vt:lpstr>
      <vt:lpstr>'Acadia Ref'!RIB</vt:lpstr>
      <vt:lpstr>'Yukon Ref'!RIB</vt:lpstr>
      <vt:lpstr>RIB</vt:lpstr>
      <vt:lpstr>'26 Hummer SUT Ref'!RIK</vt:lpstr>
      <vt:lpstr>'Acadia Ref'!RIK</vt:lpstr>
      <vt:lpstr>'Canyon Ref'!RIK</vt:lpstr>
      <vt:lpstr>'Hummer SUV Ref'!RIK</vt:lpstr>
      <vt:lpstr>'Sierra EV Ref'!RIK</vt:lpstr>
      <vt:lpstr>'Sierra HD Ref'!RIK</vt:lpstr>
      <vt:lpstr>'Sierra LD Ref'!RIK</vt:lpstr>
      <vt:lpstr>'Terrain Ref'!RIK</vt:lpstr>
      <vt:lpstr>'Yukon Ref'!RIK</vt:lpstr>
      <vt:lpstr>RIK</vt:lpstr>
      <vt:lpstr>'Terrain Ref'!RIS</vt:lpstr>
      <vt:lpstr>'Sierra EV Ref'!RSI</vt:lpstr>
      <vt:lpstr>'Canyon Ref'!RVP</vt:lpstr>
      <vt:lpstr>'Sierra LD Ref'!RVP</vt:lpstr>
      <vt:lpstr>'Sierra HD Ref'!RVQ</vt:lpstr>
      <vt:lpstr>'Sierra LD Ref'!RVQ</vt:lpstr>
      <vt:lpstr>'Sierra HD Ref'!RVS</vt:lpstr>
      <vt:lpstr>'Sierra LD Ref'!RVS</vt:lpstr>
      <vt:lpstr>RVS</vt:lpstr>
      <vt:lpstr>'Canyon Ref'!RVY</vt:lpstr>
      <vt:lpstr>'Sierra EV Ref'!RVY</vt:lpstr>
      <vt:lpstr>'Sierra LD Ref'!RVY</vt:lpstr>
      <vt:lpstr>'Canyon Ref'!RWF</vt:lpstr>
      <vt:lpstr>'Sierra LD Ref'!RWQ</vt:lpstr>
      <vt:lpstr>'Hummer SUV Ref'!RWU</vt:lpstr>
      <vt:lpstr>'Terrain Ref'!RWU</vt:lpstr>
      <vt:lpstr>'Sierra EV Ref'!RWV</vt:lpstr>
      <vt:lpstr>RXH</vt:lpstr>
      <vt:lpstr>RXJ</vt:lpstr>
      <vt:lpstr>'26 Hummer SUT Ref'!RYC</vt:lpstr>
      <vt:lpstr>'Hummer SUV Ref'!RYC</vt:lpstr>
      <vt:lpstr>'Sierra EV Ref'!RYC</vt:lpstr>
      <vt:lpstr>'26 Hummer SUT Ref'!RYH</vt:lpstr>
      <vt:lpstr>'Hummer SUV Ref'!RYH</vt:lpstr>
      <vt:lpstr>'Sierra EV Ref'!RYO</vt:lpstr>
      <vt:lpstr>'26 Hummer SUT Ref'!RYU</vt:lpstr>
      <vt:lpstr>'Hummer SUV Ref'!RYU</vt:lpstr>
      <vt:lpstr>'Sierra EV Ref'!RYU</vt:lpstr>
      <vt:lpstr>RZ9_</vt:lpstr>
      <vt:lpstr>RZB</vt:lpstr>
      <vt:lpstr>'26 Hummer SUT Ref'!RZK</vt:lpstr>
      <vt:lpstr>'Hummer SUV Ref'!RZK</vt:lpstr>
      <vt:lpstr>'26 Hummer SUT Ref'!RZT</vt:lpstr>
      <vt:lpstr>'Hummer SUV Ref'!RZT</vt:lpstr>
      <vt:lpstr>'26 Hummer SUT Ref'!RZU</vt:lpstr>
      <vt:lpstr>'Canyon Ref'!RZU</vt:lpstr>
      <vt:lpstr>'Hummer SUV Ref'!RZU</vt:lpstr>
      <vt:lpstr>'26 Hummer SUT Ref'!S0F</vt:lpstr>
      <vt:lpstr>'Hummer SUV Ref'!S0F</vt:lpstr>
      <vt:lpstr>'Acadia Ref'!S0M</vt:lpstr>
      <vt:lpstr>'Sierra HD Ref'!S0M</vt:lpstr>
      <vt:lpstr>'Sierra LD Ref'!S0M</vt:lpstr>
      <vt:lpstr>'Yukon Ref'!S0M</vt:lpstr>
      <vt:lpstr>S0M</vt:lpstr>
      <vt:lpstr>'Sierra HD Ref'!S0P</vt:lpstr>
      <vt:lpstr>'Canyon Ref'!S0Y</vt:lpstr>
      <vt:lpstr>'26 Hummer SUT Ref'!S1H</vt:lpstr>
      <vt:lpstr>'Canyon Ref'!S1H</vt:lpstr>
      <vt:lpstr>'Sierra EV Ref'!S1H</vt:lpstr>
      <vt:lpstr>'Sierra LD Ref'!S1H</vt:lpstr>
      <vt:lpstr>'26 Hummer SUT Ref'!S1O</vt:lpstr>
      <vt:lpstr>'Hummer SUV Ref'!S1O</vt:lpstr>
      <vt:lpstr>'Sierra HD Ref'!S1O</vt:lpstr>
      <vt:lpstr>'Sierra LD Ref'!S1O</vt:lpstr>
      <vt:lpstr>'Yukon Ref'!S1O</vt:lpstr>
      <vt:lpstr>S1O</vt:lpstr>
      <vt:lpstr>'Acadia Ref'!S3I</vt:lpstr>
      <vt:lpstr>'Sierra HD Ref'!S3I</vt:lpstr>
      <vt:lpstr>'Sierra LD Ref'!S3I</vt:lpstr>
      <vt:lpstr>'Yukon Ref'!S3I</vt:lpstr>
      <vt:lpstr>S3I</vt:lpstr>
      <vt:lpstr>'26 Hummer SUT Ref'!S3O</vt:lpstr>
      <vt:lpstr>'Hummer SUV Ref'!S3O</vt:lpstr>
      <vt:lpstr>'Canyon Ref'!S3X</vt:lpstr>
      <vt:lpstr>'Canyon Ref'!S4K</vt:lpstr>
      <vt:lpstr>'Sierra EV Ref'!S4K</vt:lpstr>
      <vt:lpstr>S4W</vt:lpstr>
      <vt:lpstr>'Yukon Ref'!S4X</vt:lpstr>
      <vt:lpstr>S4X</vt:lpstr>
      <vt:lpstr>'26 Hummer SUT Ref'!S6L</vt:lpstr>
      <vt:lpstr>'Canyon Ref'!S6L</vt:lpstr>
      <vt:lpstr>'Hummer SUV Ref'!S6L</vt:lpstr>
      <vt:lpstr>'Sierra HD Ref'!S6L</vt:lpstr>
      <vt:lpstr>'Sierra LD Ref'!S6L</vt:lpstr>
      <vt:lpstr>'Canyon Ref'!S6P</vt:lpstr>
      <vt:lpstr>'Acadia Ref'!SAK</vt:lpstr>
      <vt:lpstr>'Sierra HD Ref'!SAK</vt:lpstr>
      <vt:lpstr>SAK</vt:lpstr>
      <vt:lpstr>'Canyon Ref'!SAM</vt:lpstr>
      <vt:lpstr>'26 Hummer SUT Ref'!SAS</vt:lpstr>
      <vt:lpstr>'Canyon Ref'!SAS</vt:lpstr>
      <vt:lpstr>'Hummer SUV Ref'!SAU</vt:lpstr>
      <vt:lpstr>'26 Hummer SUT Ref'!SAX</vt:lpstr>
      <vt:lpstr>'Canyon Ref'!SAX</vt:lpstr>
      <vt:lpstr>'Sierra HD Ref'!SAX</vt:lpstr>
      <vt:lpstr>'Sierra LD Ref'!SAX</vt:lpstr>
      <vt:lpstr>'Acadia Ref'!SAY</vt:lpstr>
      <vt:lpstr>'Sierra HD Ref'!SAY</vt:lpstr>
      <vt:lpstr>SAY</vt:lpstr>
      <vt:lpstr>SB1_</vt:lpstr>
      <vt:lpstr>'26 Hummer SUT Ref'!SBD</vt:lpstr>
      <vt:lpstr>'Hummer SUV Ref'!SBD</vt:lpstr>
      <vt:lpstr>'Sierra HD Ref'!SBL</vt:lpstr>
      <vt:lpstr>'Canyon Ref'!SBY</vt:lpstr>
      <vt:lpstr>'Sierra LD Ref'!SBY</vt:lpstr>
      <vt:lpstr>'26 Hummer SUT Ref'!SBZ</vt:lpstr>
      <vt:lpstr>'Hummer SUV Ref'!SBZ</vt:lpstr>
      <vt:lpstr>'Sierra HD Ref'!SBZ</vt:lpstr>
      <vt:lpstr>'Sierra LD Ref'!SBZ</vt:lpstr>
      <vt:lpstr>'Yukon Ref'!SBZ</vt:lpstr>
      <vt:lpstr>SBZ</vt:lpstr>
      <vt:lpstr>'26 Hummer SUT Ref'!SDA</vt:lpstr>
      <vt:lpstr>'Hummer SUV Ref'!SDA</vt:lpstr>
      <vt:lpstr>'Canyon Ref'!SDT</vt:lpstr>
      <vt:lpstr>'26 Hummer SUT Ref'!SEL</vt:lpstr>
      <vt:lpstr>sep</vt:lpstr>
      <vt:lpstr>'Sierra EV Ref'!SES</vt:lpstr>
      <vt:lpstr>'Sierra EV Ref'!SEU</vt:lpstr>
      <vt:lpstr>'Sierra LD Ref'!SEU</vt:lpstr>
      <vt:lpstr>'Sierra LD Ref'!SEV</vt:lpstr>
      <vt:lpstr>'Yukon Ref'!SEV</vt:lpstr>
      <vt:lpstr>SEV</vt:lpstr>
      <vt:lpstr>'Sierra LD Ref'!SEZ</vt:lpstr>
      <vt:lpstr>'26 Hummer SUT Ref'!SFE</vt:lpstr>
      <vt:lpstr>'Acadia Ref'!SFE</vt:lpstr>
      <vt:lpstr>'Canyon Ref'!SFE</vt:lpstr>
      <vt:lpstr>'Hummer SUV Ref'!SFE</vt:lpstr>
      <vt:lpstr>'Sierra HD Ref'!SFE</vt:lpstr>
      <vt:lpstr>'Sierra LD Ref'!SFE</vt:lpstr>
      <vt:lpstr>'Terrain Ref'!SFE</vt:lpstr>
      <vt:lpstr>'Yukon Ref'!SFE</vt:lpstr>
      <vt:lpstr>SFE</vt:lpstr>
      <vt:lpstr>'Yukon Ref'!SFJ</vt:lpstr>
      <vt:lpstr>SFJ</vt:lpstr>
      <vt:lpstr>'Sierra LD Ref'!SFU</vt:lpstr>
      <vt:lpstr>'Yukon Ref'!SFU</vt:lpstr>
      <vt:lpstr>SFU</vt:lpstr>
      <vt:lpstr>'Acadia Ref'!SFZ</vt:lpstr>
      <vt:lpstr>'Canyon Ref'!SFZ</vt:lpstr>
      <vt:lpstr>'Sierra HD Ref'!SFZ</vt:lpstr>
      <vt:lpstr>'Sierra LD Ref'!SFZ</vt:lpstr>
      <vt:lpstr>'Terrain Ref'!SFZ</vt:lpstr>
      <vt:lpstr>'Yukon Ref'!SFZ</vt:lpstr>
      <vt:lpstr>SFZ</vt:lpstr>
      <vt:lpstr>'Sierra LD Ref'!SGM</vt:lpstr>
      <vt:lpstr>'Yukon Ref'!SGM</vt:lpstr>
      <vt:lpstr>SGM</vt:lpstr>
      <vt:lpstr>'26 Hummer SUT Ref'!SGX</vt:lpstr>
      <vt:lpstr>'Hummer SUV Ref'!SGY</vt:lpstr>
      <vt:lpstr>'Sierra HD Ref'!SHH</vt:lpstr>
      <vt:lpstr>'Acadia Ref'!SHX</vt:lpstr>
      <vt:lpstr>SHX</vt:lpstr>
      <vt:lpstr>'26 Hummer SUT Ref'!SIM</vt:lpstr>
      <vt:lpstr>'Hummer SUV Ref'!SIM</vt:lpstr>
      <vt:lpstr>'Canyon Ref'!SIQ</vt:lpstr>
      <vt:lpstr>'Canyon Ref'!SIR</vt:lpstr>
      <vt:lpstr>'Yukon Ref'!SJB</vt:lpstr>
      <vt:lpstr>'Canyon Ref'!SJS</vt:lpstr>
      <vt:lpstr>'Sierra LD Ref'!SJS</vt:lpstr>
      <vt:lpstr>'Sierra HD Ref'!SKX</vt:lpstr>
      <vt:lpstr>'26 Hummer SUT Ref'!SMA</vt:lpstr>
      <vt:lpstr>'Hummer SUV Ref'!SMA</vt:lpstr>
      <vt:lpstr>'26 Hummer SUT Ref'!SMB</vt:lpstr>
      <vt:lpstr>'Hummer SUV Ref'!SMB</vt:lpstr>
      <vt:lpstr>'Canyon Ref'!SMU</vt:lpstr>
      <vt:lpstr>'Sierra HD Ref'!SNO</vt:lpstr>
      <vt:lpstr>'Canyon Ref'!SNX</vt:lpstr>
      <vt:lpstr>SOM</vt:lpstr>
      <vt:lpstr>'26 Hummer SUT Ref'!SPY</vt:lpstr>
      <vt:lpstr>'Hummer SUV Ref'!SPY</vt:lpstr>
      <vt:lpstr>'Yukon Ref'!SPY</vt:lpstr>
      <vt:lpstr>SPY</vt:lpstr>
      <vt:lpstr>'26 Hummer SUT Ref'!SPZ</vt:lpstr>
      <vt:lpstr>'Canyon Ref'!SPZ</vt:lpstr>
      <vt:lpstr>'Hummer SUV Ref'!SPZ</vt:lpstr>
      <vt:lpstr>SPZ</vt:lpstr>
      <vt:lpstr>'Canyon Ref'!SQI</vt:lpstr>
      <vt:lpstr>'Canyon Ref'!SQJ</vt:lpstr>
      <vt:lpstr>'Canyon Ref'!SRL</vt:lpstr>
      <vt:lpstr>'Sierra LD Ref'!SRL</vt:lpstr>
      <vt:lpstr>'Yukon Ref'!SRL</vt:lpstr>
      <vt:lpstr>SRL</vt:lpstr>
      <vt:lpstr>'Sierra LD Ref'!SRV</vt:lpstr>
      <vt:lpstr>'Yukon Ref'!SRV</vt:lpstr>
      <vt:lpstr>SRV</vt:lpstr>
      <vt:lpstr>'Sierra LD Ref'!SSI</vt:lpstr>
      <vt:lpstr>'Sierra LD Ref'!SSW</vt:lpstr>
      <vt:lpstr>'Yukon Ref'!SSW</vt:lpstr>
      <vt:lpstr>SSW</vt:lpstr>
      <vt:lpstr>SvcGross</vt:lpstr>
      <vt:lpstr>'26 Hummer SUT Ref'!TRO</vt:lpstr>
      <vt:lpstr>'Hummer SUV Ref'!TRO</vt:lpstr>
      <vt:lpstr>'Sierra HD Ref'!TRO</vt:lpstr>
      <vt:lpstr>'Sierra LD Ref'!TRO</vt:lpstr>
      <vt:lpstr>'Yukon Ref'!TRO</vt:lpstr>
      <vt:lpstr>TRO</vt:lpstr>
      <vt:lpstr>'26 Hummer SUT Ref'!ULK</vt:lpstr>
      <vt:lpstr>'Hummer SUV Ref'!ULK</vt:lpstr>
      <vt:lpstr>'Canyon Ref'!UNW</vt:lpstr>
      <vt:lpstr>'Acadia Ref'!VAV</vt:lpstr>
      <vt:lpstr>'Canyon Ref'!VAV</vt:lpstr>
      <vt:lpstr>'Terrain Ref'!VAV</vt:lpstr>
      <vt:lpstr>'Yukon Ref'!VAV</vt:lpstr>
      <vt:lpstr>VAV</vt:lpstr>
      <vt:lpstr>'26 Hummer SUT Ref'!VBJ</vt:lpstr>
      <vt:lpstr>'Sierra HD Ref'!VBJ</vt:lpstr>
      <vt:lpstr>'Sierra LD Ref'!VBJ</vt:lpstr>
      <vt:lpstr>'26 Hummer SUT Ref'!VBP</vt:lpstr>
      <vt:lpstr>'Canyon Ref'!VBP</vt:lpstr>
      <vt:lpstr>'Hummer SUV Ref'!VBP</vt:lpstr>
      <vt:lpstr>'Canyon Ref'!VBR</vt:lpstr>
      <vt:lpstr>'Yukon Ref'!VKU</vt:lpstr>
      <vt:lpstr>VKU</vt:lpstr>
      <vt:lpstr>'Acadia Ref'!VLI</vt:lpstr>
      <vt:lpstr>'Terrain Ref'!VLI</vt:lpstr>
      <vt:lpstr>VLI</vt:lpstr>
      <vt:lpstr>'Acadia Ref'!VLL</vt:lpstr>
      <vt:lpstr>'Terrain Ref'!VLL</vt:lpstr>
      <vt:lpstr>VLL</vt:lpstr>
      <vt:lpstr>'26 Hummer SUT Ref'!VMK</vt:lpstr>
      <vt:lpstr>'Sierra EV Ref'!VMK</vt:lpstr>
      <vt:lpstr>'26 Hummer SUT Ref'!VOZ</vt:lpstr>
      <vt:lpstr>'Canyon Ref'!VOZ</vt:lpstr>
      <vt:lpstr>'Sierra EV Ref'!VOZ</vt:lpstr>
      <vt:lpstr>'Sierra HD Ref'!VOZ</vt:lpstr>
      <vt:lpstr>'Sierra LD Ref'!VOZ</vt:lpstr>
      <vt:lpstr>'26 Hummer SUT Ref'!VPB</vt:lpstr>
      <vt:lpstr>'Canyon Ref'!VPB</vt:lpstr>
      <vt:lpstr>'Sierra EV Ref'!VPB</vt:lpstr>
      <vt:lpstr>'Sierra LD Ref'!VPB</vt:lpstr>
      <vt:lpstr>'26 Hummer SUT Ref'!VQK</vt:lpstr>
      <vt:lpstr>'Acadia Ref'!VQK</vt:lpstr>
      <vt:lpstr>'Hummer SUV Ref'!VQK</vt:lpstr>
      <vt:lpstr>'Sierra HD Ref'!VQK</vt:lpstr>
      <vt:lpstr>'Sierra LD Ref'!VQK</vt:lpstr>
      <vt:lpstr>'Terrain Ref'!VQK</vt:lpstr>
      <vt:lpstr>'Yukon Ref'!VQK</vt:lpstr>
      <vt:lpstr>VQK</vt:lpstr>
      <vt:lpstr>'Sierra LD Ref'!VQM</vt:lpstr>
      <vt:lpstr>'Acadia Ref'!VQO</vt:lpstr>
      <vt:lpstr>'Canyon Ref'!VQO</vt:lpstr>
      <vt:lpstr>'Sierra HD Ref'!VQO</vt:lpstr>
      <vt:lpstr>'Sierra LD Ref'!VQO</vt:lpstr>
      <vt:lpstr>VQO</vt:lpstr>
      <vt:lpstr>'26 Hummer SUT Ref'!VQQ</vt:lpstr>
      <vt:lpstr>'Hummer SUV Ref'!VQQ</vt:lpstr>
      <vt:lpstr>'Yukon Ref'!VQQ</vt:lpstr>
      <vt:lpstr>VQQ</vt:lpstr>
      <vt:lpstr>'Canyon Ref'!VQZ</vt:lpstr>
      <vt:lpstr>'Sierra HD Ref'!VQZ</vt:lpstr>
      <vt:lpstr>'Yukon Ref'!VQZ</vt:lpstr>
      <vt:lpstr>VQZ</vt:lpstr>
      <vt:lpstr>'Acadia Ref'!VRS</vt:lpstr>
      <vt:lpstr>'Hummer SUV Ref'!VRS</vt:lpstr>
      <vt:lpstr>'Terrain Ref'!VRS</vt:lpstr>
      <vt:lpstr>'Yukon Ref'!VRS</vt:lpstr>
      <vt:lpstr>VRS</vt:lpstr>
      <vt:lpstr>'Acadia Ref'!VRV</vt:lpstr>
      <vt:lpstr>VRV</vt:lpstr>
      <vt:lpstr>'Canyon Ref'!VST</vt:lpstr>
      <vt:lpstr>'Canyon Ref'!VTA</vt:lpstr>
      <vt:lpstr>'Yukon Ref'!VTA</vt:lpstr>
      <vt:lpstr>VTA</vt:lpstr>
      <vt:lpstr>'Yukon Ref'!VTB</vt:lpstr>
      <vt:lpstr>VTB</vt:lpstr>
      <vt:lpstr>'Sierra HD Ref'!VXH</vt:lpstr>
      <vt:lpstr>'Sierra LD Ref'!VXH</vt:lpstr>
      <vt:lpstr>VXH</vt:lpstr>
      <vt:lpstr>'Sierra HD Ref'!VXJ</vt:lpstr>
      <vt:lpstr>'Sierra LD Ref'!VXJ</vt:lpstr>
      <vt:lpstr>'Acadia Ref'!VXW</vt:lpstr>
      <vt:lpstr>'Sierra HD Ref'!VXW</vt:lpstr>
      <vt:lpstr>'Sierra LD Ref'!VXW</vt:lpstr>
      <vt:lpstr>VXW</vt:lpstr>
      <vt:lpstr>'26 Hummer SUT Ref'!VYW</vt:lpstr>
      <vt:lpstr>'Hummer SUV Ref'!VYW</vt:lpstr>
      <vt:lpstr>'Canyon Ref'!VZJ</vt:lpstr>
      <vt:lpstr>'Canyon Ref'!VZT</vt:lpstr>
      <vt:lpstr>'Sierra LD Ref'!VZX</vt:lpstr>
      <vt:lpstr>'26 Hummer SUT Ref'!W0H</vt:lpstr>
      <vt:lpstr>'Hummer SUV Ref'!W0H</vt:lpstr>
      <vt:lpstr>'Acadia Ref'!W2D</vt:lpstr>
      <vt:lpstr>'Hummer SUV Ref'!W2D</vt:lpstr>
      <vt:lpstr>'Terrain Ref'!W2D</vt:lpstr>
      <vt:lpstr>'Yukon Ref'!W2D</vt:lpstr>
      <vt:lpstr>W2D</vt:lpstr>
      <vt:lpstr>'Sierra LD Ref'!WBC</vt:lpstr>
      <vt:lpstr>'Yukon Ref'!WBC</vt:lpstr>
      <vt:lpstr>WBC</vt:lpstr>
    </vt:vector>
  </TitlesOfParts>
  <Manager/>
  <Company>Hendrick Automotive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TempUser</dc:creator>
  <cp:keywords/>
  <dc:description/>
  <cp:lastModifiedBy>Shatto, Branden</cp:lastModifiedBy>
  <cp:revision/>
  <cp:lastPrinted>2025-02-05T12:18:34Z</cp:lastPrinted>
  <dcterms:created xsi:type="dcterms:W3CDTF">2020-01-06T19:54:18Z</dcterms:created>
  <dcterms:modified xsi:type="dcterms:W3CDTF">2025-11-24T16:22:41Z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0x010100CE5E0523921ED247BAD1EC3E261A1291</vt:lpwstr>
  </property>
</Properties>
</file>