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jsha\Desktop\ROI\Cadlliac ROI\"/>
    </mc:Choice>
  </mc:AlternateContent>
  <xr:revisionPtr revIDLastSave="0" documentId="8_{C90F850E-2E0D-47A2-82CF-607587422648}" xr6:coauthVersionLast="47" xr6:coauthVersionMax="47" xr10:uidLastSave="{00000000-0000-0000-0000-000000000000}"/>
  <bookViews>
    <workbookView xWindow="1155" yWindow="2430" windowWidth="24315" windowHeight="15120" xr2:uid="{00000000-000D-0000-FFFF-FFFF00000000}"/>
  </bookViews>
  <sheets>
    <sheet name="Home" sheetId="54" r:id="rId1"/>
    <sheet name="2026 Escalade" sheetId="1" r:id="rId2"/>
    <sheet name="Escalade Ref" sheetId="41" state="hidden" r:id="rId3"/>
    <sheet name="2026 Escalade IQ" sheetId="5" r:id="rId4"/>
    <sheet name="Escalade IQ Ref" sheetId="42" state="hidden" r:id="rId5"/>
    <sheet name="2026 Vistiq" sheetId="37" r:id="rId6"/>
    <sheet name="Vistiq Ref" sheetId="43" state="hidden" r:id="rId7"/>
    <sheet name="26 Optiq" sheetId="2" r:id="rId8"/>
    <sheet name="Optiq Ref" sheetId="44" state="hidden" r:id="rId9"/>
    <sheet name="26 Lyriq" sheetId="34" r:id="rId10"/>
    <sheet name="Lyriq Ref" sheetId="45" state="hidden" r:id="rId11"/>
    <sheet name="26 CT5" sheetId="8" r:id="rId12"/>
    <sheet name="CT5 Ref" sheetId="46" state="hidden" r:id="rId13"/>
    <sheet name="26 CT4" sheetId="12" r:id="rId14"/>
    <sheet name="CT4 Ref" sheetId="47" state="hidden" r:id="rId15"/>
    <sheet name="26 XT5" sheetId="4" r:id="rId16"/>
    <sheet name="XT5 Ref" sheetId="48" state="hidden" r:id="rId17"/>
  </sheets>
  <definedNames>
    <definedName name="_5AV">#REF!</definedName>
    <definedName name="_5CH">#REF!</definedName>
    <definedName name="_5DG">#REF!</definedName>
    <definedName name="_5DH">#REF!</definedName>
    <definedName name="_5DK">#REF!</definedName>
    <definedName name="_5DO">#REF!</definedName>
    <definedName name="_5FD" localSheetId="2">'Escalade Ref'!$A$23</definedName>
    <definedName name="_5FD">'Escalade Ref'!$A$23</definedName>
    <definedName name="_5FG">#REF!</definedName>
    <definedName name="_5HR" localSheetId="16">'XT5 Ref'!$A$1</definedName>
    <definedName name="_5JR" localSheetId="10">'Lyriq Ref'!$A$4</definedName>
    <definedName name="_5jr" localSheetId="8">'Optiq Ref'!$A$6</definedName>
    <definedName name="_5JR">#REF!</definedName>
    <definedName name="_5JS" localSheetId="14">'CT4 Ref'!$A$2</definedName>
    <definedName name="_5JS" localSheetId="12">'CT5 Ref'!$A$2</definedName>
    <definedName name="_5K2" localSheetId="14">'CT4 Ref'!$A$3</definedName>
    <definedName name="_5K2">#REF!</definedName>
    <definedName name="_5K4">#REF!</definedName>
    <definedName name="_5K5">#REF!</definedName>
    <definedName name="_5KA">#REF!</definedName>
    <definedName name="_5KB" localSheetId="12">'CT5 Ref'!$A$3</definedName>
    <definedName name="_5KB">#REF!</definedName>
    <definedName name="_5Ru">#REF!</definedName>
    <definedName name="_5V5" localSheetId="14">'CT4 Ref'!$A$4</definedName>
    <definedName name="_5V5" localSheetId="12">'CT5 Ref'!$A$4</definedName>
    <definedName name="_5v5">#REF!</definedName>
    <definedName name="_5V7">#REF!</definedName>
    <definedName name="_5XR" localSheetId="14">'CT4 Ref'!$A$5</definedName>
    <definedName name="_5XR" localSheetId="12">'CT5 Ref'!$A$5</definedName>
    <definedName name="_5ZU">#REF!</definedName>
    <definedName name="_5ZV">#REF!</definedName>
    <definedName name="_5ZW">#REF!</definedName>
    <definedName name="_5ZZ">#REF!</definedName>
    <definedName name="_xlnm._FilterDatabase" localSheetId="1" hidden="1">'2026 Escalade'!$A$4:$I$4</definedName>
    <definedName name="_xlnm._FilterDatabase" localSheetId="3" hidden="1">'2026 Escalade IQ'!$A$4:$I$4</definedName>
    <definedName name="_xlnm._FilterDatabase" localSheetId="5" hidden="1">'2026 Vistiq'!$A$4:$I$4</definedName>
    <definedName name="_xlnm._FilterDatabase" localSheetId="13" hidden="1">'26 CT4'!$A$4:$I$4</definedName>
    <definedName name="_xlnm._FilterDatabase" localSheetId="11" hidden="1">'26 CT5'!$A$4:$I$4</definedName>
    <definedName name="_xlnm._FilterDatabase" localSheetId="9" hidden="1">'26 Lyriq'!$A$4:$I$4</definedName>
    <definedName name="_xlnm._FilterDatabase" localSheetId="7" hidden="1">'26 Optiq'!$A$4:$I$4</definedName>
    <definedName name="_xlnm._FilterDatabase" localSheetId="15" hidden="1">'26 XT5'!$A$4:$I$4</definedName>
    <definedName name="_qj5" localSheetId="16">'XT5 Ref'!$A$3</definedName>
    <definedName name="_R88" localSheetId="2">'Escalade Ref'!$A$3</definedName>
    <definedName name="_r88">#REF!</definedName>
    <definedName name="_ry2" localSheetId="14">'CT4 Ref'!$A$9</definedName>
    <definedName name="_S08">#REF!</definedName>
    <definedName name="_S47">#REF!</definedName>
    <definedName name="_sa2" localSheetId="4">'Escalade IQ Ref'!$A$19</definedName>
    <definedName name="_SB7">#REF!</definedName>
    <definedName name="_SB9" localSheetId="12">'CT5 Ref'!$A$8</definedName>
    <definedName name="_sb9" localSheetId="16">'XT5 Ref'!$A$6</definedName>
    <definedName name="_SD3">#REF!</definedName>
    <definedName name="_SF2">#REF!</definedName>
    <definedName name="_SF3" localSheetId="4">'Escalade IQ Ref'!$A$27</definedName>
    <definedName name="_sf7" localSheetId="4">'Escalade IQ Ref'!$A$28</definedName>
    <definedName name="_sf9" localSheetId="10">'Lyriq Ref'!$A$7</definedName>
    <definedName name="_SJ9" localSheetId="2">'Escalade Ref'!$A$6</definedName>
    <definedName name="_sj9" localSheetId="16">'XT5 Ref'!$A$9</definedName>
    <definedName name="_SL8">#REF!</definedName>
    <definedName name="_SL9">#REF!</definedName>
    <definedName name="_sQ9" localSheetId="12">'CT5 Ref'!$A$23</definedName>
    <definedName name="AAK" localSheetId="2">'Escalade Ref'!$A$11</definedName>
    <definedName name="AAK">#REF!</definedName>
    <definedName name="CAV" localSheetId="4">'Escalade IQ Ref'!$A$16</definedName>
    <definedName name="CAV" localSheetId="2">'Escalade Ref'!$A$18</definedName>
    <definedName name="CAV" localSheetId="10">'Lyriq Ref'!$A$14</definedName>
    <definedName name="CAV" localSheetId="8">'Optiq Ref'!$A$14</definedName>
    <definedName name="CAV" localSheetId="6">'Vistiq Ref'!$A$10</definedName>
    <definedName name="CAV" localSheetId="16">'XT5 Ref'!$A$20</definedName>
    <definedName name="CAV">#REF!</definedName>
    <definedName name="E5K" localSheetId="14">'CT4 Ref'!$A$7</definedName>
    <definedName name="E5K" localSheetId="16">'XT5 Ref'!$A$2</definedName>
    <definedName name="EU2_">#REF!</definedName>
    <definedName name="Labor">Home!$B$10</definedName>
    <definedName name="PCH" localSheetId="4">'Escalade IQ Ref'!$A$1</definedName>
    <definedName name="PCH" localSheetId="2">'Escalade Ref'!$A$1</definedName>
    <definedName name="_xlnm.Print_Area" localSheetId="1">'2026 Escalade'!$A$1:$I$26</definedName>
    <definedName name="_xlnm.Print_Area" localSheetId="3">'2026 Escalade IQ'!$A$1:$I$28</definedName>
    <definedName name="_xlnm.Print_Area" localSheetId="13">'26 CT4'!$A$1:$I$20</definedName>
    <definedName name="_xlnm.Print_Area" localSheetId="11">'26 CT5'!$A$1:$I$18</definedName>
    <definedName name="_xlnm.Print_Area" localSheetId="9">'26 Lyriq'!$A$1:$I$30</definedName>
    <definedName name="_xlnm.Print_Area" localSheetId="7">'26 Optiq'!$A$1:$I$18</definedName>
    <definedName name="_xlnm.Print_Area" localSheetId="15">'26 XT5'!$A$1:$I$28</definedName>
    <definedName name="RDI">#REF!</definedName>
    <definedName name="RIA" localSheetId="4">'Escalade IQ Ref'!$A$11</definedName>
    <definedName name="RIA" localSheetId="10">'Lyriq Ref'!$A$10</definedName>
    <definedName name="RIA" localSheetId="8">'Optiq Ref'!$A$10</definedName>
    <definedName name="RIA" localSheetId="6">'Vistiq Ref'!$A$7</definedName>
    <definedName name="RIA" localSheetId="16">'XT5 Ref'!$A$16</definedName>
    <definedName name="RIA">#REF!</definedName>
    <definedName name="RIB" localSheetId="2">'Escalade Ref'!$A$12</definedName>
    <definedName name="RIB">#REF!</definedName>
    <definedName name="RIK" localSheetId="14">'CT4 Ref'!$A$8</definedName>
    <definedName name="RIK" localSheetId="12">'CT5 Ref'!$A$6</definedName>
    <definedName name="RIK" localSheetId="4">'Escalade IQ Ref'!$A$24</definedName>
    <definedName name="RIK" localSheetId="2">'Escalade Ref'!$A$4</definedName>
    <definedName name="RIK" localSheetId="10">'Lyriq Ref'!$A$5</definedName>
    <definedName name="RIK" localSheetId="8">'Optiq Ref'!$A$7</definedName>
    <definedName name="RIK" localSheetId="6">'Vistiq Ref'!$A$4</definedName>
    <definedName name="RIK" localSheetId="16">'XT5 Ref'!$A$4</definedName>
    <definedName name="RIK">#REF!</definedName>
    <definedName name="RVO" localSheetId="16">'XT5 Ref'!$A$21</definedName>
    <definedName name="RVS">#REF!</definedName>
    <definedName name="RWU" localSheetId="14">'CT4 Ref'!$A$16</definedName>
    <definedName name="RWU" localSheetId="12">'CT5 Ref'!$A$14</definedName>
    <definedName name="RWV" localSheetId="4">'Escalade IQ Ref'!$A$17</definedName>
    <definedName name="RXH">#REF!</definedName>
    <definedName name="RXJ">#REF!</definedName>
    <definedName name="RXX" localSheetId="12">'CT5 Ref'!$A$7</definedName>
    <definedName name="RYC" localSheetId="4">'Escalade IQ Ref'!$A$18</definedName>
    <definedName name="RYK" localSheetId="8">'Optiq Ref'!$A$3</definedName>
    <definedName name="RYN" localSheetId="8">'Optiq Ref'!$A$4</definedName>
    <definedName name="RYO" localSheetId="4">'Escalade IQ Ref'!$A$12</definedName>
    <definedName name="RYT" localSheetId="14">'CT4 Ref'!$A$20</definedName>
    <definedName name="RYT" localSheetId="12">'CT5 Ref'!$A$18</definedName>
    <definedName name="RYU" localSheetId="4">'Escalade IQ Ref'!$A$5</definedName>
    <definedName name="RYU" localSheetId="10">'Lyriq Ref'!$A$3</definedName>
    <definedName name="RYU" localSheetId="6">'Vistiq Ref'!$A$3</definedName>
    <definedName name="RYW" localSheetId="8">'Optiq Ref'!$A$5</definedName>
    <definedName name="RZ9_">#REF!</definedName>
    <definedName name="RZB">#REF!</definedName>
    <definedName name="RZN" localSheetId="4">'Escalade IQ Ref'!$A$25</definedName>
    <definedName name="S0M" localSheetId="4">'Escalade IQ Ref'!$A$13</definedName>
    <definedName name="S0M" localSheetId="2">'Escalade Ref'!$A$13</definedName>
    <definedName name="S0M">#REF!</definedName>
    <definedName name="S1O">#REF!</definedName>
    <definedName name="S2K" localSheetId="16">'XT5 Ref'!$A$28</definedName>
    <definedName name="S3I" localSheetId="4">'Escalade IQ Ref'!$A$6</definedName>
    <definedName name="S3I" localSheetId="2">'Escalade Ref'!$A$5</definedName>
    <definedName name="S3I" localSheetId="10">'Lyriq Ref'!$A$6</definedName>
    <definedName name="S3I" localSheetId="8">'Optiq Ref'!$A$8</definedName>
    <definedName name="S3I" localSheetId="6">'Vistiq Ref'!$A$5</definedName>
    <definedName name="S3I" localSheetId="16">'XT5 Ref'!$A$5</definedName>
    <definedName name="S3I">#REF!</definedName>
    <definedName name="S4W">#REF!</definedName>
    <definedName name="S4X">#REF!</definedName>
    <definedName name="SAK">#REF!</definedName>
    <definedName name="SAY">#REF!</definedName>
    <definedName name="SB1_">#REF!</definedName>
    <definedName name="SB9_">#REF!</definedName>
    <definedName name="SBZ" localSheetId="2">'Escalade Ref'!$A$14</definedName>
    <definedName name="SBZ">#REF!</definedName>
    <definedName name="SCY" localSheetId="14">'CT4 Ref'!$A$10</definedName>
    <definedName name="SCY" localSheetId="12">'CT5 Ref'!$A$9</definedName>
    <definedName name="SCY" localSheetId="16">'XT5 Ref'!$A$7</definedName>
    <definedName name="SDE" localSheetId="10">'Lyriq Ref'!$A$22</definedName>
    <definedName name="SDE" localSheetId="8">'Optiq Ref'!$A$20</definedName>
    <definedName name="SDE" localSheetId="6">'Vistiq Ref'!$A$13</definedName>
    <definedName name="SDE" localSheetId="16">'XT5 Ref'!$A$26</definedName>
    <definedName name="SDR" localSheetId="10">'Lyriq Ref'!$A$19</definedName>
    <definedName name="SET" localSheetId="2">'Escalade Ref'!$A$25</definedName>
    <definedName name="SET" localSheetId="10">'Lyriq Ref'!$A$24</definedName>
    <definedName name="SEV">#REF!</definedName>
    <definedName name="SFC" localSheetId="14">'CT4 Ref'!$A$11</definedName>
    <definedName name="SFD" localSheetId="12">'CT5 Ref'!$A$10</definedName>
    <definedName name="SFE" localSheetId="12">'CT5 Ref'!$A$26</definedName>
    <definedName name="SFE" localSheetId="2">'Escalade Ref'!$A$28</definedName>
    <definedName name="SFE" localSheetId="16">'XT5 Ref'!$A$29</definedName>
    <definedName name="SFE">#REF!</definedName>
    <definedName name="SFJ" localSheetId="4">'Escalade IQ Ref'!$A$14</definedName>
    <definedName name="SFJ" localSheetId="2">'Escalade Ref'!$A$15</definedName>
    <definedName name="SFJ" localSheetId="10">'Lyriq Ref'!$A$11</definedName>
    <definedName name="SFJ" localSheetId="8">'Optiq Ref'!$A$11</definedName>
    <definedName name="SFJ" localSheetId="6">'Vistiq Ref'!$A$8</definedName>
    <definedName name="SFJ">#REF!</definedName>
    <definedName name="SFR" localSheetId="10">'Lyriq Ref'!$A$25</definedName>
    <definedName name="SFU" localSheetId="10">'Lyriq Ref'!$A$26</definedName>
    <definedName name="SFU">#REF!</definedName>
    <definedName name="SFZ" localSheetId="14">'CT4 Ref'!$A$12</definedName>
    <definedName name="SFZ" localSheetId="16">'XT5 Ref'!$A$8</definedName>
    <definedName name="SFZ">#REF!</definedName>
    <definedName name="SGM">#REF!</definedName>
    <definedName name="SGV" localSheetId="14">'CT4 Ref'!$A$22</definedName>
    <definedName name="SHX">#REF!</definedName>
    <definedName name="SJ9_">#REF!</definedName>
    <definedName name="SKO" localSheetId="14">'CT4 Ref'!$A$17</definedName>
    <definedName name="SKO" localSheetId="12">'CT5 Ref'!$A$15</definedName>
    <definedName name="skW" localSheetId="12">'CT5 Ref'!$A$20</definedName>
    <definedName name="SKX" localSheetId="12">'CT5 Ref'!$A$21</definedName>
    <definedName name="SMS" localSheetId="4">'Escalade IQ Ref'!$A$29</definedName>
    <definedName name="SNL" localSheetId="4">'Escalade IQ Ref'!$A$30</definedName>
    <definedName name="SOM">#REF!</definedName>
    <definedName name="SOU" localSheetId="14">'CT4 Ref'!$A$23</definedName>
    <definedName name="SOX" localSheetId="14">'CT4 Ref'!$A$24</definedName>
    <definedName name="SOY" localSheetId="14">'CT4 Ref'!$A$25</definedName>
    <definedName name="SPQ" localSheetId="14">'CT4 Ref'!$A$26</definedName>
    <definedName name="spy" localSheetId="14">'CT4 Ref'!$A$27</definedName>
    <definedName name="SPY" localSheetId="12">'CT5 Ref'!$A$25</definedName>
    <definedName name="SPY" localSheetId="16">'XT5 Ref'!$A$38</definedName>
    <definedName name="SPY">#REF!</definedName>
    <definedName name="SPZ" localSheetId="14">'CT4 Ref'!$A$28</definedName>
    <definedName name="SPZ" localSheetId="12">'CT5 Ref'!$A$27</definedName>
    <definedName name="spz" localSheetId="6">'Vistiq Ref'!$A$16</definedName>
    <definedName name="SPZ" localSheetId="16">'XT5 Ref'!$A$39</definedName>
    <definedName name="SPZ">#REF!</definedName>
    <definedName name="SQU" localSheetId="14">'CT4 Ref'!$A$29</definedName>
    <definedName name="SQU" localSheetId="12">'CT5 Ref'!$A$28</definedName>
    <definedName name="SRL">#REF!</definedName>
    <definedName name="SRV">#REF!</definedName>
    <definedName name="SSE" localSheetId="12">'CT5 Ref'!$A$22</definedName>
    <definedName name="SSJ" localSheetId="12">'CT5 Ref'!$A$24</definedName>
    <definedName name="SSW">#REF!</definedName>
    <definedName name="SSX" localSheetId="2">'Escalade Ref'!$A$26</definedName>
    <definedName name="SUZ" localSheetId="10">'Lyriq Ref'!$A$20</definedName>
    <definedName name="SvcGross">Home!$I$10</definedName>
    <definedName name="TRO" localSheetId="4">'Escalade IQ Ref'!$A$2</definedName>
    <definedName name="TRO" localSheetId="2">'Escalade Ref'!$A$2</definedName>
    <definedName name="TRO">#REF!</definedName>
    <definedName name="VAS" localSheetId="14">'CT4 Ref'!$A$13</definedName>
    <definedName name="VAS" localSheetId="12">'CT5 Ref'!$A$11</definedName>
    <definedName name="VAV" localSheetId="14">'CT4 Ref'!$A$14</definedName>
    <definedName name="VAV" localSheetId="12">'CT5 Ref'!$A$29</definedName>
    <definedName name="VAV" localSheetId="2">'Escalade Ref'!$A$16</definedName>
    <definedName name="VAV" localSheetId="10">'Lyriq Ref'!$A$12</definedName>
    <definedName name="VAV" localSheetId="8">'Optiq Ref'!$A$12</definedName>
    <definedName name="VAV" localSheetId="16">'XT5 Ref'!$A$17</definedName>
    <definedName name="VAV">#REF!</definedName>
    <definedName name="VEB" localSheetId="16">'XT5 Ref'!$A$18</definedName>
    <definedName name="VKU">#REF!</definedName>
    <definedName name="VLG" localSheetId="10">'Lyriq Ref'!$A$23</definedName>
    <definedName name="VLG" localSheetId="8">'Optiq Ref'!$A$21</definedName>
    <definedName name="VLG" localSheetId="6">'Vistiq Ref'!$A$15</definedName>
    <definedName name="VLG" localSheetId="16">'XT5 Ref'!$A$27</definedName>
    <definedName name="VLI" localSheetId="14">'CT4 Ref'!$A$18</definedName>
    <definedName name="VLI" localSheetId="12">'CT5 Ref'!$A$16</definedName>
    <definedName name="VLI" localSheetId="10">'Lyriq Ref'!$A$15</definedName>
    <definedName name="VLI">#REF!</definedName>
    <definedName name="VLL">#REF!</definedName>
    <definedName name="VMP" localSheetId="16">'XT5 Ref'!$A$25</definedName>
    <definedName name="VNI" localSheetId="2">'Escalade Ref'!$A$7</definedName>
    <definedName name="VNI" localSheetId="16">'XT5 Ref'!$A$10</definedName>
    <definedName name="VQK" localSheetId="16">'XT5 Ref'!$A$11</definedName>
    <definedName name="VQK">#REF!</definedName>
    <definedName name="VQO">#REF!</definedName>
    <definedName name="VQP" localSheetId="10">'Lyriq Ref'!$A$9</definedName>
    <definedName name="VQP" localSheetId="6">'Vistiq Ref'!$A$6</definedName>
    <definedName name="VQP" localSheetId="16">'XT5 Ref'!$A$13</definedName>
    <definedName name="VQQ" localSheetId="4">'Escalade IQ Ref'!$A$10</definedName>
    <definedName name="VQQ" localSheetId="2">'Escalade Ref'!$A$9</definedName>
    <definedName name="VQQ" localSheetId="16">'XT5 Ref'!$A$14</definedName>
    <definedName name="VQQ">#REF!</definedName>
    <definedName name="VQZ">#REF!</definedName>
    <definedName name="VRS" localSheetId="2">'Escalade Ref'!$A$19</definedName>
    <definedName name="VRS" localSheetId="8">'Optiq Ref'!$A$15</definedName>
    <definedName name="VRS" localSheetId="16">'XT5 Ref'!$A$22</definedName>
    <definedName name="VRS">#REF!</definedName>
    <definedName name="VRV" localSheetId="12">'CT5 Ref'!$A$12</definedName>
    <definedName name="VRV" localSheetId="4">'Escalade IQ Ref'!$A$7</definedName>
    <definedName name="VRV" localSheetId="10">'Lyriq Ref'!$A$8</definedName>
    <definedName name="VRV" localSheetId="8">'Optiq Ref'!$A$9</definedName>
    <definedName name="VRV">#REF!</definedName>
    <definedName name="VSO" localSheetId="8">'Optiq Ref'!$A$18</definedName>
    <definedName name="VSP" localSheetId="8">'Optiq Ref'!$A$22</definedName>
    <definedName name="VTA">#REF!</definedName>
    <definedName name="VTB" localSheetId="4">'Escalade IQ Ref'!$A$8</definedName>
    <definedName name="VTB" localSheetId="2">'Escalade Ref'!$A$8</definedName>
    <definedName name="VTB" localSheetId="16">'XT5 Ref'!$A$12</definedName>
    <definedName name="VTB">#REF!</definedName>
    <definedName name="VXH">#REF!</definedName>
    <definedName name="VXW">#REF!</definedName>
    <definedName name="VYW" localSheetId="14">'CT4 Ref'!$A$15</definedName>
    <definedName name="VYW" localSheetId="12">'CT5 Ref'!$A$13</definedName>
    <definedName name="VYW" localSheetId="4">'Escalade IQ Ref'!$A$15</definedName>
    <definedName name="VYW" localSheetId="2">'Escalade Ref'!$A$17</definedName>
    <definedName name="VYW" localSheetId="10">'Lyriq Ref'!$A$13</definedName>
    <definedName name="VYW" localSheetId="8">'Optiq Ref'!$A$13</definedName>
    <definedName name="VYW" localSheetId="6">'Vistiq Ref'!$A$9</definedName>
    <definedName name="VYW" localSheetId="16">'XT5 Ref'!$A$19</definedName>
    <definedName name="W0A" localSheetId="4">'Escalade IQ Ref'!$A$21</definedName>
    <definedName name="W0A" localSheetId="10">'Lyriq Ref'!$A$16</definedName>
    <definedName name="W0A" localSheetId="8">'Optiq Ref'!$A$16</definedName>
    <definedName name="W0A" localSheetId="6">'Vistiq Ref'!$A$11</definedName>
    <definedName name="W0A" localSheetId="16">'XT5 Ref'!$A$23</definedName>
    <definedName name="W2D" localSheetId="14">'CT4 Ref'!$A$19</definedName>
    <definedName name="W2D" localSheetId="12">'CT5 Ref'!$A$17</definedName>
    <definedName name="W2D" localSheetId="4">'Escalade IQ Ref'!$A$22</definedName>
    <definedName name="W2D" localSheetId="2">'Escalade Ref'!$A$20</definedName>
    <definedName name="W2D" localSheetId="10">'Lyriq Ref'!$A$17</definedName>
    <definedName name="W2D" localSheetId="8">'Optiq Ref'!$A$17</definedName>
    <definedName name="W2D" localSheetId="6">'Vistiq Ref'!$A$12</definedName>
    <definedName name="W2D">#REF!</definedName>
    <definedName name="WBC" localSheetId="2">'Escalade Ref'!$A$22</definedName>
    <definedName name="WBC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1" l="1"/>
  <c r="H23" i="1" s="1"/>
  <c r="I23" i="1" s="1"/>
  <c r="G24" i="1"/>
  <c r="H24" i="1" s="1"/>
  <c r="I24" i="1" s="1"/>
  <c r="G25" i="1"/>
  <c r="H25" i="1" s="1"/>
  <c r="I25" i="1" s="1"/>
  <c r="G26" i="1"/>
  <c r="H26" i="1" s="1"/>
  <c r="I26" i="1" s="1"/>
  <c r="G23" i="5"/>
  <c r="H23" i="5" s="1"/>
  <c r="I23" i="5" s="1"/>
  <c r="G24" i="5"/>
  <c r="H24" i="5" s="1"/>
  <c r="I24" i="5" s="1"/>
  <c r="G25" i="5"/>
  <c r="H25" i="5" s="1"/>
  <c r="I25" i="5" s="1"/>
  <c r="G26" i="5"/>
  <c r="H26" i="5"/>
  <c r="I26" i="5" s="1"/>
  <c r="G27" i="5"/>
  <c r="H27" i="5" s="1"/>
  <c r="I27" i="5" s="1"/>
  <c r="G28" i="5"/>
  <c r="H28" i="5" s="1"/>
  <c r="I28" i="5" s="1"/>
  <c r="G23" i="34"/>
  <c r="H23" i="34" s="1"/>
  <c r="I23" i="34" s="1"/>
  <c r="G24" i="34"/>
  <c r="H24" i="34" s="1"/>
  <c r="I24" i="34" s="1"/>
  <c r="G25" i="34"/>
  <c r="H25" i="34" s="1"/>
  <c r="I25" i="34" s="1"/>
  <c r="G26" i="34"/>
  <c r="H26" i="34" s="1"/>
  <c r="I26" i="34" s="1"/>
  <c r="G27" i="34"/>
  <c r="H27" i="34" s="1"/>
  <c r="I27" i="34" s="1"/>
  <c r="G28" i="34"/>
  <c r="H28" i="34" s="1"/>
  <c r="I28" i="34" s="1"/>
  <c r="G29" i="34"/>
  <c r="H29" i="34" s="1"/>
  <c r="I29" i="34" s="1"/>
  <c r="G30" i="34"/>
  <c r="H30" i="34" s="1"/>
  <c r="I30" i="34" s="1"/>
  <c r="G23" i="8"/>
  <c r="H23" i="8"/>
  <c r="I23" i="8" s="1"/>
  <c r="G24" i="8"/>
  <c r="H24" i="8" s="1"/>
  <c r="I24" i="8" s="1"/>
  <c r="G25" i="8"/>
  <c r="H25" i="8" s="1"/>
  <c r="I25" i="8" s="1"/>
  <c r="G26" i="8"/>
  <c r="H26" i="8" s="1"/>
  <c r="I26" i="8" s="1"/>
  <c r="G27" i="8"/>
  <c r="H27" i="8" s="1"/>
  <c r="I27" i="8" s="1"/>
  <c r="G28" i="8"/>
  <c r="H28" i="8" s="1"/>
  <c r="I28" i="8" s="1"/>
  <c r="G29" i="8"/>
  <c r="H29" i="8"/>
  <c r="I29" i="8"/>
  <c r="G30" i="8"/>
  <c r="H30" i="8" s="1"/>
  <c r="I30" i="8" s="1"/>
  <c r="G31" i="8"/>
  <c r="H31" i="8"/>
  <c r="I31" i="8" s="1"/>
  <c r="G32" i="8"/>
  <c r="H32" i="8"/>
  <c r="I32" i="8" s="1"/>
  <c r="G23" i="12"/>
  <c r="H23" i="12" s="1"/>
  <c r="I23" i="12" s="1"/>
  <c r="G24" i="12"/>
  <c r="H24" i="12"/>
  <c r="I24" i="12" s="1"/>
  <c r="G25" i="12"/>
  <c r="H25" i="12" s="1"/>
  <c r="I25" i="12" s="1"/>
  <c r="G26" i="12"/>
  <c r="H26" i="12" s="1"/>
  <c r="I26" i="12" s="1"/>
  <c r="G27" i="12"/>
  <c r="H27" i="12" s="1"/>
  <c r="I27" i="12" s="1"/>
  <c r="G28" i="12"/>
  <c r="H28" i="12" s="1"/>
  <c r="I28" i="12" s="1"/>
  <c r="G29" i="12"/>
  <c r="H29" i="12" s="1"/>
  <c r="I29" i="12" s="1"/>
  <c r="G30" i="12"/>
  <c r="H30" i="12" s="1"/>
  <c r="I30" i="12" s="1"/>
  <c r="G31" i="12"/>
  <c r="H31" i="12" s="1"/>
  <c r="I31" i="12" s="1"/>
  <c r="G32" i="12"/>
  <c r="H32" i="12" s="1"/>
  <c r="I32" i="12" s="1"/>
  <c r="G33" i="12"/>
  <c r="H33" i="12"/>
  <c r="I33" i="12" s="1"/>
  <c r="G34" i="12"/>
  <c r="H34" i="12"/>
  <c r="I34" i="12"/>
  <c r="G23" i="4"/>
  <c r="H23" i="4" s="1"/>
  <c r="I23" i="4" s="1"/>
  <c r="G24" i="4"/>
  <c r="H24" i="4" s="1"/>
  <c r="I24" i="4" s="1"/>
  <c r="G25" i="4"/>
  <c r="H25" i="4" s="1"/>
  <c r="I25" i="4" s="1"/>
  <c r="G26" i="4"/>
  <c r="H26" i="4" s="1"/>
  <c r="I26" i="4" s="1"/>
  <c r="G27" i="4"/>
  <c r="H27" i="4" s="1"/>
  <c r="I27" i="4" s="1"/>
  <c r="G28" i="4"/>
  <c r="H28" i="4" s="1"/>
  <c r="I28" i="4" s="1"/>
  <c r="B37" i="48" l="1"/>
  <c r="B36" i="48"/>
  <c r="B35" i="48"/>
  <c r="B34" i="48"/>
  <c r="B33" i="48"/>
  <c r="B32" i="48"/>
  <c r="B31" i="48" a="1"/>
  <c r="B31" i="48" s="1"/>
  <c r="B30" i="48"/>
  <c r="B36" i="47"/>
  <c r="B35" i="47"/>
  <c r="B34" i="47"/>
  <c r="B32" i="47"/>
  <c r="B33" i="47" a="1"/>
  <c r="B33" i="47" s="1"/>
  <c r="B31" i="47"/>
  <c r="B30" i="47" a="1"/>
  <c r="B30" i="47" s="1"/>
  <c r="B36" i="46"/>
  <c r="B35" i="46"/>
  <c r="B34" i="46" a="1"/>
  <c r="B34" i="46" s="1"/>
  <c r="B33" i="46"/>
  <c r="B32" i="46" a="1"/>
  <c r="B32" i="46" s="1"/>
  <c r="B31" i="46"/>
  <c r="B30" i="46" a="1"/>
  <c r="B30" i="46" s="1"/>
  <c r="E6" i="34"/>
  <c r="E7" i="34"/>
  <c r="E8" i="34"/>
  <c r="E9" i="34"/>
  <c r="E10" i="34"/>
  <c r="E11" i="34"/>
  <c r="E12" i="34"/>
  <c r="E13" i="34"/>
  <c r="E14" i="34"/>
  <c r="E15" i="34"/>
  <c r="E16" i="34"/>
  <c r="E17" i="34"/>
  <c r="E18" i="34"/>
  <c r="E19" i="34"/>
  <c r="E20" i="34"/>
  <c r="E21" i="34"/>
  <c r="E22" i="34"/>
  <c r="E23" i="34"/>
  <c r="E24" i="34"/>
  <c r="E25" i="34"/>
  <c r="E26" i="34"/>
  <c r="E27" i="34"/>
  <c r="E28" i="34"/>
  <c r="E29" i="34"/>
  <c r="E30" i="34"/>
  <c r="E5" i="34"/>
  <c r="B36" i="45"/>
  <c r="B35" i="45"/>
  <c r="B34" i="45"/>
  <c r="B32" i="45"/>
  <c r="B33" i="45"/>
  <c r="B31" i="45"/>
  <c r="B30" i="45"/>
  <c r="B29" i="45"/>
  <c r="B28" i="45"/>
  <c r="B27" i="45"/>
  <c r="B28" i="44"/>
  <c r="B26" i="44"/>
  <c r="B25" i="44"/>
  <c r="B24" i="44"/>
  <c r="B23" i="44" a="1"/>
  <c r="B23" i="44" s="1"/>
  <c r="B19" i="43"/>
  <c r="B18" i="43"/>
  <c r="B17" i="43"/>
  <c r="B35" i="42"/>
  <c r="B34" i="42" a="1"/>
  <c r="B34" i="42" s="1"/>
  <c r="B33" i="42"/>
  <c r="B32" i="42" a="1"/>
  <c r="B32" i="42" s="1"/>
  <c r="B31" i="42" a="1"/>
  <c r="B31" i="42" s="1"/>
  <c r="B33" i="41" a="1"/>
  <c r="B33" i="41" s="1"/>
  <c r="B32" i="41"/>
  <c r="B31" i="41"/>
  <c r="B30" i="41"/>
  <c r="E21" i="12"/>
  <c r="F21" i="12"/>
  <c r="G21" i="12" s="1"/>
  <c r="H21" i="12" s="1"/>
  <c r="I21" i="12" s="1"/>
  <c r="E22" i="12"/>
  <c r="F22" i="12"/>
  <c r="G22" i="12" s="1"/>
  <c r="H22" i="12" s="1"/>
  <c r="I22" i="12" s="1"/>
  <c r="E23" i="12"/>
  <c r="F23" i="12"/>
  <c r="E24" i="12"/>
  <c r="F24" i="12"/>
  <c r="E25" i="12"/>
  <c r="F25" i="12"/>
  <c r="E26" i="12"/>
  <c r="F26" i="12"/>
  <c r="E27" i="12"/>
  <c r="F27" i="12"/>
  <c r="E28" i="12"/>
  <c r="F28" i="12"/>
  <c r="E29" i="12"/>
  <c r="F29" i="12"/>
  <c r="E30" i="12"/>
  <c r="F30" i="12"/>
  <c r="E31" i="12"/>
  <c r="F31" i="12"/>
  <c r="E32" i="12"/>
  <c r="F32" i="12"/>
  <c r="E33" i="12"/>
  <c r="F33" i="12"/>
  <c r="E34" i="12"/>
  <c r="F34" i="12"/>
  <c r="E19" i="8"/>
  <c r="F19" i="8"/>
  <c r="G19" i="8" s="1"/>
  <c r="H19" i="8" s="1"/>
  <c r="I19" i="8" s="1"/>
  <c r="E20" i="8"/>
  <c r="F20" i="8"/>
  <c r="G20" i="8" s="1"/>
  <c r="H20" i="8" s="1"/>
  <c r="I20" i="8" s="1"/>
  <c r="E21" i="8"/>
  <c r="F21" i="8"/>
  <c r="G21" i="8" s="1"/>
  <c r="H21" i="8" s="1"/>
  <c r="I21" i="8" s="1"/>
  <c r="E22" i="8"/>
  <c r="F22" i="8"/>
  <c r="G22" i="8" s="1"/>
  <c r="H22" i="8" s="1"/>
  <c r="I22" i="8" s="1"/>
  <c r="E23" i="8"/>
  <c r="F23" i="8"/>
  <c r="E24" i="8"/>
  <c r="F24" i="8"/>
  <c r="E25" i="8"/>
  <c r="F25" i="8"/>
  <c r="E26" i="8"/>
  <c r="F26" i="8"/>
  <c r="E27" i="8"/>
  <c r="F27" i="8"/>
  <c r="E28" i="8"/>
  <c r="F28" i="8"/>
  <c r="E29" i="8"/>
  <c r="F29" i="8"/>
  <c r="E30" i="8"/>
  <c r="F30" i="8"/>
  <c r="E31" i="8"/>
  <c r="F31" i="8"/>
  <c r="E32" i="8"/>
  <c r="F32" i="8"/>
  <c r="E16" i="2"/>
  <c r="F16" i="2"/>
  <c r="G16" i="2" s="1"/>
  <c r="H16" i="2" s="1"/>
  <c r="I16" i="2" s="1"/>
  <c r="E17" i="2"/>
  <c r="F17" i="2"/>
  <c r="G17" i="2" s="1"/>
  <c r="H17" i="2" s="1"/>
  <c r="I17" i="2" s="1"/>
  <c r="E18" i="2"/>
  <c r="F18" i="2"/>
  <c r="G18" i="2" s="1"/>
  <c r="H18" i="2" s="1"/>
  <c r="I18" i="2" s="1"/>
  <c r="E19" i="2"/>
  <c r="F19" i="2"/>
  <c r="G19" i="2" s="1"/>
  <c r="H19" i="2" s="1"/>
  <c r="I19" i="2" s="1"/>
  <c r="E6" i="5"/>
  <c r="F14" i="4" l="1"/>
  <c r="G14" i="4" s="1"/>
  <c r="F15" i="4"/>
  <c r="G15" i="4" s="1"/>
  <c r="F16" i="4"/>
  <c r="G16" i="4" s="1"/>
  <c r="F13" i="4"/>
  <c r="G13" i="4" s="1"/>
  <c r="F5" i="4"/>
  <c r="G5" i="4" s="1"/>
  <c r="H5" i="4" s="1"/>
  <c r="I5" i="4" s="1"/>
  <c r="F6" i="4"/>
  <c r="G6" i="4" s="1"/>
  <c r="H6" i="4" s="1"/>
  <c r="I6" i="4" s="1"/>
  <c r="F7" i="4"/>
  <c r="G7" i="4" s="1"/>
  <c r="H7" i="4" s="1"/>
  <c r="I7" i="4" s="1"/>
  <c r="F8" i="4"/>
  <c r="G8" i="4" s="1"/>
  <c r="F9" i="4"/>
  <c r="G9" i="4" s="1"/>
  <c r="F10" i="4"/>
  <c r="G10" i="4" s="1"/>
  <c r="F11" i="4"/>
  <c r="G11" i="4" s="1"/>
  <c r="F17" i="4"/>
  <c r="G17" i="4" s="1"/>
  <c r="F18" i="4"/>
  <c r="G18" i="4" s="1"/>
  <c r="F19" i="4"/>
  <c r="G19" i="4" s="1"/>
  <c r="F20" i="4"/>
  <c r="G20" i="4" s="1"/>
  <c r="F21" i="4"/>
  <c r="G21" i="4" s="1"/>
  <c r="F22" i="4"/>
  <c r="G22" i="4" s="1"/>
  <c r="F23" i="4"/>
  <c r="F24" i="4"/>
  <c r="F25" i="4"/>
  <c r="F26" i="4"/>
  <c r="F27" i="4"/>
  <c r="F28" i="4"/>
  <c r="F12" i="4"/>
  <c r="G12" i="4" s="1"/>
  <c r="E8" i="4"/>
  <c r="E9" i="4"/>
  <c r="E10" i="4"/>
  <c r="E11" i="4"/>
  <c r="E17" i="4"/>
  <c r="E18" i="4"/>
  <c r="E19" i="4"/>
  <c r="E20" i="4"/>
  <c r="E21" i="4"/>
  <c r="E22" i="4"/>
  <c r="E23" i="4"/>
  <c r="E24" i="4"/>
  <c r="E25" i="4"/>
  <c r="E26" i="4"/>
  <c r="E27" i="4"/>
  <c r="E28" i="4"/>
  <c r="E13" i="4"/>
  <c r="E5" i="4"/>
  <c r="E6" i="4"/>
  <c r="E7" i="4"/>
  <c r="E14" i="4"/>
  <c r="E15" i="4"/>
  <c r="E16" i="4"/>
  <c r="E12" i="4"/>
  <c r="F12" i="12"/>
  <c r="G12" i="12" s="1"/>
  <c r="F13" i="12"/>
  <c r="G13" i="12" s="1"/>
  <c r="F14" i="12"/>
  <c r="G14" i="12" s="1"/>
  <c r="F16" i="12"/>
  <c r="G16" i="12" s="1"/>
  <c r="H16" i="12" s="1"/>
  <c r="I16" i="12" s="1"/>
  <c r="F17" i="12"/>
  <c r="G17" i="12" s="1"/>
  <c r="H17" i="12" s="1"/>
  <c r="I17" i="12" s="1"/>
  <c r="F5" i="12"/>
  <c r="G5" i="12" s="1"/>
  <c r="F6" i="12"/>
  <c r="G6" i="12" s="1"/>
  <c r="F7" i="12"/>
  <c r="G7" i="12" s="1"/>
  <c r="F8" i="12"/>
  <c r="G8" i="12" s="1"/>
  <c r="F9" i="12"/>
  <c r="G9" i="12" s="1"/>
  <c r="F10" i="12"/>
  <c r="G10" i="12" s="1"/>
  <c r="F11" i="12"/>
  <c r="G11" i="12" s="1"/>
  <c r="F18" i="12"/>
  <c r="G18" i="12" s="1"/>
  <c r="F19" i="12"/>
  <c r="G19" i="12" s="1"/>
  <c r="F20" i="12"/>
  <c r="G20" i="12" s="1"/>
  <c r="F15" i="12"/>
  <c r="G15" i="12" s="1"/>
  <c r="E14" i="12"/>
  <c r="E16" i="12"/>
  <c r="E17" i="12"/>
  <c r="F12" i="8"/>
  <c r="G12" i="8" s="1"/>
  <c r="F13" i="8"/>
  <c r="G13" i="8" s="1"/>
  <c r="F15" i="8"/>
  <c r="G15" i="8" s="1"/>
  <c r="F5" i="8"/>
  <c r="G5" i="8" s="1"/>
  <c r="F6" i="8"/>
  <c r="G6" i="8" s="1"/>
  <c r="F7" i="8"/>
  <c r="G7" i="8" s="1"/>
  <c r="F8" i="8"/>
  <c r="G8" i="8" s="1"/>
  <c r="F9" i="8"/>
  <c r="G9" i="8" s="1"/>
  <c r="F10" i="8"/>
  <c r="G10" i="8" s="1"/>
  <c r="F11" i="8"/>
  <c r="G11" i="8" s="1"/>
  <c r="F16" i="8"/>
  <c r="G16" i="8" s="1"/>
  <c r="F17" i="8"/>
  <c r="G17" i="8" s="1"/>
  <c r="F18" i="8"/>
  <c r="G18" i="8" s="1"/>
  <c r="F14" i="8"/>
  <c r="G14" i="8" s="1"/>
  <c r="F18" i="34"/>
  <c r="G18" i="34" s="1"/>
  <c r="F19" i="34"/>
  <c r="G19" i="34" s="1"/>
  <c r="F20" i="34"/>
  <c r="G20" i="34" s="1"/>
  <c r="F15" i="34"/>
  <c r="G15" i="34" s="1"/>
  <c r="F16" i="34"/>
  <c r="G16" i="34" s="1"/>
  <c r="F17" i="34"/>
  <c r="G17" i="34" s="1"/>
  <c r="F5" i="34"/>
  <c r="G5" i="34" s="1"/>
  <c r="F6" i="34"/>
  <c r="G6" i="34" s="1"/>
  <c r="F7" i="34"/>
  <c r="G7" i="34" s="1"/>
  <c r="F8" i="34"/>
  <c r="G8" i="34" s="1"/>
  <c r="H8" i="34" s="1"/>
  <c r="I8" i="34" s="1"/>
  <c r="F9" i="34"/>
  <c r="G9" i="34" s="1"/>
  <c r="F10" i="34"/>
  <c r="G10" i="34" s="1"/>
  <c r="F11" i="34"/>
  <c r="G11" i="34" s="1"/>
  <c r="F12" i="34"/>
  <c r="G12" i="34" s="1"/>
  <c r="F13" i="34"/>
  <c r="G13" i="34" s="1"/>
  <c r="F21" i="34"/>
  <c r="G21" i="34" s="1"/>
  <c r="F22" i="34"/>
  <c r="G22" i="34" s="1"/>
  <c r="F23" i="34"/>
  <c r="F24" i="34"/>
  <c r="F25" i="34"/>
  <c r="F26" i="34"/>
  <c r="F27" i="34"/>
  <c r="F28" i="34"/>
  <c r="F29" i="34"/>
  <c r="F30" i="34"/>
  <c r="F14" i="34"/>
  <c r="G14" i="34" s="1"/>
  <c r="F11" i="2"/>
  <c r="G11" i="2" s="1"/>
  <c r="F9" i="2"/>
  <c r="G9" i="2" s="1"/>
  <c r="F12" i="2"/>
  <c r="G12" i="2" s="1"/>
  <c r="F13" i="2"/>
  <c r="G13" i="2" s="1"/>
  <c r="F5" i="2"/>
  <c r="G5" i="2" s="1"/>
  <c r="F6" i="2"/>
  <c r="G6" i="2" s="1"/>
  <c r="F7" i="2"/>
  <c r="G7" i="2" s="1"/>
  <c r="F8" i="2"/>
  <c r="G8" i="2" s="1"/>
  <c r="F14" i="2"/>
  <c r="G14" i="2" s="1"/>
  <c r="F15" i="2"/>
  <c r="G15" i="2" s="1"/>
  <c r="F10" i="2"/>
  <c r="G10" i="2" s="1"/>
  <c r="F15" i="37"/>
  <c r="G15" i="37" s="1"/>
  <c r="F8" i="37"/>
  <c r="G8" i="37" s="1"/>
  <c r="F9" i="37"/>
  <c r="G9" i="37" s="1"/>
  <c r="F5" i="37"/>
  <c r="G5" i="37" s="1"/>
  <c r="F6" i="37"/>
  <c r="G6" i="37" s="1"/>
  <c r="F7" i="37"/>
  <c r="G7" i="37" s="1"/>
  <c r="F10" i="37"/>
  <c r="G10" i="37" s="1"/>
  <c r="F11" i="37"/>
  <c r="G11" i="37" s="1"/>
  <c r="F12" i="37"/>
  <c r="G12" i="37" s="1"/>
  <c r="F13" i="37"/>
  <c r="G13" i="37" s="1"/>
  <c r="F14" i="37"/>
  <c r="G14" i="37" s="1"/>
  <c r="F6" i="5"/>
  <c r="G6" i="5" s="1"/>
  <c r="F10" i="5"/>
  <c r="G10" i="5" s="1"/>
  <c r="F11" i="5"/>
  <c r="G11" i="5" s="1"/>
  <c r="F12" i="5"/>
  <c r="G12" i="5" s="1"/>
  <c r="F13" i="5"/>
  <c r="G13" i="5" s="1"/>
  <c r="F7" i="5"/>
  <c r="G7" i="5" s="1"/>
  <c r="F8" i="5"/>
  <c r="G8" i="5" s="1"/>
  <c r="F9" i="5"/>
  <c r="G9" i="5" s="1"/>
  <c r="F14" i="5"/>
  <c r="G14" i="5" s="1"/>
  <c r="F15" i="5"/>
  <c r="G15" i="5" s="1"/>
  <c r="F16" i="5"/>
  <c r="G16" i="5" s="1"/>
  <c r="F17" i="5"/>
  <c r="G17" i="5" s="1"/>
  <c r="F18" i="5"/>
  <c r="G18" i="5" s="1"/>
  <c r="F19" i="5"/>
  <c r="G19" i="5" s="1"/>
  <c r="F20" i="5"/>
  <c r="G20" i="5" s="1"/>
  <c r="F21" i="5"/>
  <c r="G21" i="5" s="1"/>
  <c r="F22" i="5"/>
  <c r="G22" i="5" s="1"/>
  <c r="F23" i="5"/>
  <c r="F24" i="5"/>
  <c r="F25" i="5"/>
  <c r="F26" i="5"/>
  <c r="F27" i="5"/>
  <c r="F28" i="5"/>
  <c r="F5" i="5"/>
  <c r="G5" i="5" s="1"/>
  <c r="F14" i="1"/>
  <c r="F15" i="1"/>
  <c r="F16" i="1"/>
  <c r="F10" i="1"/>
  <c r="F9" i="1"/>
  <c r="F5" i="1"/>
  <c r="F6" i="1"/>
  <c r="F7" i="1"/>
  <c r="F8" i="1"/>
  <c r="F11" i="1"/>
  <c r="F12" i="1"/>
  <c r="F17" i="1"/>
  <c r="F18" i="1"/>
  <c r="F19" i="1"/>
  <c r="F20" i="1"/>
  <c r="F21" i="1"/>
  <c r="F22" i="1"/>
  <c r="F23" i="1"/>
  <c r="F24" i="1"/>
  <c r="F25" i="1"/>
  <c r="F26" i="1"/>
  <c r="F13" i="1"/>
  <c r="H14" i="12" l="1"/>
  <c r="I14" i="12" s="1"/>
  <c r="H7" i="34"/>
  <c r="I7" i="34" s="1"/>
  <c r="H17" i="34"/>
  <c r="I17" i="34" s="1"/>
  <c r="H12" i="34"/>
  <c r="I12" i="34" s="1"/>
  <c r="H6" i="34"/>
  <c r="I6" i="34" s="1"/>
  <c r="H5" i="34"/>
  <c r="I5" i="34" s="1"/>
  <c r="H11" i="34"/>
  <c r="I11" i="34" s="1"/>
  <c r="H10" i="34"/>
  <c r="I10" i="34" s="1"/>
  <c r="H9" i="34"/>
  <c r="I9" i="34" s="1"/>
  <c r="H13" i="4"/>
  <c r="I13" i="4" s="1"/>
  <c r="H15" i="34"/>
  <c r="I15" i="34" s="1"/>
  <c r="H16" i="34"/>
  <c r="I16" i="34" s="1"/>
  <c r="H20" i="34"/>
  <c r="I20" i="34" s="1"/>
  <c r="H22" i="34"/>
  <c r="I22" i="34" s="1"/>
  <c r="H21" i="34"/>
  <c r="I21" i="34" s="1"/>
  <c r="H19" i="34"/>
  <c r="I19" i="34" s="1"/>
  <c r="H18" i="34"/>
  <c r="I18" i="34" s="1"/>
  <c r="H14" i="34"/>
  <c r="I14" i="34" s="1"/>
  <c r="H13" i="34"/>
  <c r="I13" i="34" s="1"/>
  <c r="G20" i="1" l="1"/>
  <c r="G21" i="1"/>
  <c r="E15" i="37" l="1"/>
  <c r="E8" i="37"/>
  <c r="E9" i="37"/>
  <c r="E5" i="37"/>
  <c r="H5" i="37" s="1"/>
  <c r="E6" i="37"/>
  <c r="E7" i="37"/>
  <c r="H7" i="37" s="1"/>
  <c r="E10" i="37"/>
  <c r="H10" i="37" s="1"/>
  <c r="E11" i="37"/>
  <c r="H11" i="37" s="1"/>
  <c r="E12" i="37"/>
  <c r="H12" i="37" s="1"/>
  <c r="E13" i="37"/>
  <c r="E14" i="37"/>
  <c r="I7" i="37" l="1"/>
  <c r="I10" i="37"/>
  <c r="I11" i="37"/>
  <c r="I12" i="37"/>
  <c r="E17" i="5"/>
  <c r="H17" i="5" s="1"/>
  <c r="E18" i="5"/>
  <c r="E19" i="5"/>
  <c r="E20" i="5"/>
  <c r="E21" i="5"/>
  <c r="E22" i="5"/>
  <c r="E23" i="5"/>
  <c r="E24" i="5"/>
  <c r="E25" i="5"/>
  <c r="E26" i="5"/>
  <c r="E27" i="5"/>
  <c r="E28" i="5"/>
  <c r="E7" i="5"/>
  <c r="H7" i="5" s="1"/>
  <c r="I7" i="5" s="1"/>
  <c r="E8" i="5"/>
  <c r="H8" i="5" s="1"/>
  <c r="I8" i="5" s="1"/>
  <c r="E9" i="5"/>
  <c r="H9" i="5" s="1"/>
  <c r="I9" i="5" s="1"/>
  <c r="E14" i="5"/>
  <c r="H14" i="5" s="1"/>
  <c r="I14" i="5" s="1"/>
  <c r="E15" i="5"/>
  <c r="H15" i="5" s="1"/>
  <c r="I15" i="5" s="1"/>
  <c r="E16" i="5"/>
  <c r="H16" i="5" s="1"/>
  <c r="I16" i="5" s="1"/>
  <c r="E10" i="5"/>
  <c r="E11" i="5"/>
  <c r="E12" i="5"/>
  <c r="E13" i="5"/>
  <c r="E5" i="5"/>
  <c r="G13" i="1"/>
  <c r="E14" i="1"/>
  <c r="E15" i="1"/>
  <c r="E16" i="1"/>
  <c r="E10" i="1"/>
  <c r="E9" i="1"/>
  <c r="E5" i="1"/>
  <c r="E6" i="1"/>
  <c r="E7" i="1"/>
  <c r="E8" i="1"/>
  <c r="E11" i="1"/>
  <c r="E12" i="1"/>
  <c r="E17" i="1"/>
  <c r="E18" i="1"/>
  <c r="E19" i="1"/>
  <c r="E20" i="1"/>
  <c r="E21" i="1"/>
  <c r="E22" i="1"/>
  <c r="E23" i="1"/>
  <c r="E24" i="1"/>
  <c r="E25" i="1"/>
  <c r="E26" i="1"/>
  <c r="E13" i="1"/>
  <c r="G5" i="1"/>
  <c r="G6" i="1"/>
  <c r="G7" i="1"/>
  <c r="G8" i="1"/>
  <c r="G11" i="1"/>
  <c r="G12" i="1"/>
  <c r="G17" i="1"/>
  <c r="G18" i="1"/>
  <c r="G19" i="1"/>
  <c r="H13" i="1" l="1"/>
  <c r="I13" i="1" s="1"/>
  <c r="H18" i="1"/>
  <c r="I18" i="1" s="1"/>
  <c r="H19" i="1"/>
  <c r="I19" i="1" s="1"/>
  <c r="H11" i="1"/>
  <c r="I11" i="1" s="1"/>
  <c r="H8" i="1"/>
  <c r="I8" i="1" s="1"/>
  <c r="H7" i="1"/>
  <c r="I7" i="1" s="1"/>
  <c r="H6" i="1"/>
  <c r="I6" i="1" s="1"/>
  <c r="H5" i="1"/>
  <c r="I5" i="1" s="1"/>
  <c r="H12" i="1"/>
  <c r="I12" i="1" s="1"/>
  <c r="H17" i="1"/>
  <c r="I17" i="1" s="1"/>
  <c r="G22" i="1"/>
  <c r="G15" i="1"/>
  <c r="G16" i="1"/>
  <c r="G10" i="1"/>
  <c r="G9" i="1"/>
  <c r="G14" i="1"/>
  <c r="E9" i="2"/>
  <c r="E11" i="2"/>
  <c r="E15" i="2"/>
  <c r="E12" i="2"/>
  <c r="E14" i="2"/>
  <c r="E13" i="2"/>
  <c r="E10" i="2"/>
  <c r="E7" i="2"/>
  <c r="E8" i="2"/>
  <c r="E6" i="2"/>
  <c r="E5" i="2"/>
  <c r="H14" i="37" l="1"/>
  <c r="H15" i="37"/>
  <c r="H8" i="37"/>
  <c r="H9" i="37"/>
  <c r="H13" i="37"/>
  <c r="H6" i="37"/>
  <c r="H10" i="2"/>
  <c r="I10" i="2" s="1"/>
  <c r="H9" i="2"/>
  <c r="I9" i="2" s="1"/>
  <c r="H6" i="2"/>
  <c r="I6" i="2" s="1"/>
  <c r="H14" i="2"/>
  <c r="I14" i="2" s="1"/>
  <c r="H7" i="2"/>
  <c r="I7" i="2" s="1"/>
  <c r="H15" i="2"/>
  <c r="I15" i="2" s="1"/>
  <c r="H5" i="2"/>
  <c r="I5" i="2" s="1"/>
  <c r="H11" i="2"/>
  <c r="I11" i="2" s="1"/>
  <c r="H8" i="2"/>
  <c r="I8" i="2" s="1"/>
  <c r="H13" i="2"/>
  <c r="I13" i="2" s="1"/>
  <c r="H12" i="2"/>
  <c r="I12" i="2" s="1"/>
  <c r="E14" i="8" l="1"/>
  <c r="E10" i="8" l="1"/>
  <c r="E6" i="8"/>
  <c r="E8" i="8"/>
  <c r="E17" i="8"/>
  <c r="E9" i="8"/>
  <c r="E13" i="8" l="1"/>
  <c r="E18" i="8" l="1"/>
  <c r="E15" i="8"/>
  <c r="E5" i="12"/>
  <c r="E12" i="12"/>
  <c r="E12" i="8"/>
  <c r="E5" i="8"/>
  <c r="E11" i="8"/>
  <c r="E16" i="8"/>
  <c r="E7" i="8"/>
  <c r="E11" i="12" l="1"/>
  <c r="E7" i="12"/>
  <c r="E20" i="12"/>
  <c r="E6" i="12"/>
  <c r="E10" i="12"/>
  <c r="E8" i="12"/>
  <c r="E19" i="12"/>
  <c r="E9" i="12"/>
  <c r="E18" i="12"/>
  <c r="E15" i="12"/>
  <c r="E13" i="12"/>
  <c r="H9" i="1" l="1"/>
  <c r="I9" i="1" s="1"/>
  <c r="H10" i="1"/>
  <c r="I10" i="1" s="1"/>
  <c r="H15" i="1"/>
  <c r="I15" i="1" s="1"/>
  <c r="H16" i="1"/>
  <c r="I16" i="1" s="1"/>
  <c r="H21" i="1"/>
  <c r="I21" i="1" s="1"/>
  <c r="H22" i="1"/>
  <c r="I22" i="1" s="1"/>
  <c r="H14" i="1"/>
  <c r="I14" i="1" s="1"/>
  <c r="H20" i="1"/>
  <c r="I20" i="1" s="1"/>
  <c r="H20" i="4"/>
  <c r="I20" i="4" s="1"/>
  <c r="H10" i="8"/>
  <c r="I10" i="8" s="1"/>
  <c r="H7" i="12" l="1"/>
  <c r="I7" i="12" s="1"/>
  <c r="H13" i="12"/>
  <c r="I13" i="12" s="1"/>
  <c r="H11" i="12"/>
  <c r="I11" i="12" s="1"/>
  <c r="H18" i="12"/>
  <c r="I18" i="12" s="1"/>
  <c r="H9" i="12"/>
  <c r="I9" i="12" s="1"/>
  <c r="H5" i="12"/>
  <c r="I5" i="12" s="1"/>
  <c r="H19" i="12"/>
  <c r="I19" i="12" s="1"/>
  <c r="H8" i="12"/>
  <c r="I8" i="12" s="1"/>
  <c r="H10" i="12"/>
  <c r="I10" i="12" s="1"/>
  <c r="H6" i="12"/>
  <c r="I6" i="12" s="1"/>
  <c r="H20" i="12"/>
  <c r="I20" i="12" s="1"/>
  <c r="H9" i="4"/>
  <c r="I9" i="4" s="1"/>
  <c r="H12" i="4"/>
  <c r="I12" i="4" s="1"/>
  <c r="H5" i="8"/>
  <c r="I5" i="8" s="1"/>
  <c r="H19" i="4"/>
  <c r="I19" i="4" s="1"/>
  <c r="H9" i="8"/>
  <c r="I9" i="8" s="1"/>
  <c r="H6" i="5"/>
  <c r="I6" i="5" s="1"/>
  <c r="H6" i="8"/>
  <c r="I6" i="8" s="1"/>
  <c r="H17" i="8"/>
  <c r="I17" i="8" s="1"/>
  <c r="H10" i="5"/>
  <c r="I10" i="5" s="1"/>
  <c r="H17" i="4"/>
  <c r="I17" i="4" s="1"/>
  <c r="H18" i="8"/>
  <c r="I18" i="8" s="1"/>
  <c r="H18" i="4"/>
  <c r="I18" i="4" s="1"/>
  <c r="H5" i="5"/>
  <c r="I5" i="5" s="1"/>
  <c r="I17" i="5"/>
  <c r="H18" i="5"/>
  <c r="I18" i="5" s="1"/>
  <c r="H13" i="5"/>
  <c r="I13" i="5" s="1"/>
  <c r="H21" i="5"/>
  <c r="I21" i="5" s="1"/>
  <c r="H19" i="5"/>
  <c r="I19" i="5" s="1"/>
  <c r="H11" i="5"/>
  <c r="I11" i="5" s="1"/>
  <c r="H12" i="5"/>
  <c r="I12" i="5" s="1"/>
  <c r="H22" i="5"/>
  <c r="I22" i="5" s="1"/>
  <c r="H20" i="5"/>
  <c r="I20" i="5" s="1"/>
  <c r="H15" i="12"/>
  <c r="I15" i="12" s="1"/>
  <c r="H11" i="8"/>
  <c r="I11" i="8" s="1"/>
  <c r="H7" i="8"/>
  <c r="I7" i="8" s="1"/>
  <c r="H14" i="8"/>
  <c r="I14" i="8" s="1"/>
  <c r="H13" i="8"/>
  <c r="I13" i="8" s="1"/>
  <c r="H21" i="4"/>
  <c r="I21" i="4" s="1"/>
  <c r="H12" i="12"/>
  <c r="I12" i="12" s="1"/>
  <c r="H14" i="4"/>
  <c r="I14" i="4" s="1"/>
  <c r="H10" i="4"/>
  <c r="I10" i="4" s="1"/>
  <c r="H15" i="8"/>
  <c r="I15" i="8" s="1"/>
  <c r="H15" i="4"/>
  <c r="I15" i="4" s="1"/>
  <c r="H12" i="8"/>
  <c r="I12" i="8" s="1"/>
  <c r="H8" i="8"/>
  <c r="I8" i="8" s="1"/>
  <c r="H22" i="4"/>
  <c r="I22" i="4" s="1"/>
  <c r="H8" i="4"/>
  <c r="I8" i="4" s="1"/>
  <c r="H11" i="4"/>
  <c r="I11" i="4" s="1"/>
  <c r="H16" i="4"/>
  <c r="I16" i="4" s="1"/>
  <c r="H16" i="8"/>
  <c r="I16" i="8" s="1"/>
  <c r="I5" i="37" l="1"/>
  <c r="I15" i="37"/>
  <c r="I8" i="37"/>
  <c r="I14" i="37"/>
  <c r="I9" i="37"/>
  <c r="I13" i="37"/>
  <c r="I6" i="3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<sst xmlns="http://schemas.openxmlformats.org/spreadsheetml/2006/main" count="750" uniqueCount="293">
  <si>
    <t>Code</t>
  </si>
  <si>
    <t>Description</t>
  </si>
  <si>
    <t>Labor Time</t>
  </si>
  <si>
    <t>Vehicle Invoice</t>
  </si>
  <si>
    <t xml:space="preserve">MSRP on Window Sticker </t>
  </si>
  <si>
    <t>Estimated Service Gross</t>
  </si>
  <si>
    <t>Sales Dept.  Margin</t>
  </si>
  <si>
    <t xml:space="preserve">Total Profit Opportunity </t>
  </si>
  <si>
    <t>ROI</t>
  </si>
  <si>
    <t>PDB</t>
  </si>
  <si>
    <t>VQK</t>
  </si>
  <si>
    <t>PDV</t>
  </si>
  <si>
    <t>SFZ</t>
  </si>
  <si>
    <t>WH6</t>
  </si>
  <si>
    <t>R88</t>
  </si>
  <si>
    <t>SFE</t>
  </si>
  <si>
    <t>Wheel Locks</t>
  </si>
  <si>
    <t>RIK</t>
  </si>
  <si>
    <t>SBZ</t>
  </si>
  <si>
    <t>PDJ</t>
  </si>
  <si>
    <t>PCP</t>
  </si>
  <si>
    <t>SJ9</t>
  </si>
  <si>
    <t>VEB</t>
  </si>
  <si>
    <t>VRV</t>
  </si>
  <si>
    <t>S0M</t>
  </si>
  <si>
    <t>Sport Pedal Cover Kit</t>
  </si>
  <si>
    <t>PDY</t>
  </si>
  <si>
    <t>Warranty Labor Rate</t>
  </si>
  <si>
    <t>Dealer Service Gross %</t>
  </si>
  <si>
    <t xml:space="preserve"> </t>
  </si>
  <si>
    <t>RIA</t>
  </si>
  <si>
    <t>AAK</t>
  </si>
  <si>
    <t>TRO</t>
  </si>
  <si>
    <t>PDH</t>
  </si>
  <si>
    <t>CAV</t>
  </si>
  <si>
    <t>RYT</t>
  </si>
  <si>
    <t>S08</t>
  </si>
  <si>
    <t>VAV</t>
  </si>
  <si>
    <t>VLI</t>
  </si>
  <si>
    <t>VRS</t>
  </si>
  <si>
    <t>VTB</t>
  </si>
  <si>
    <t>W2D</t>
  </si>
  <si>
    <t>Cargo Net</t>
  </si>
  <si>
    <t>Roof Rack Cross Rails</t>
  </si>
  <si>
    <t>RWU</t>
  </si>
  <si>
    <t>PCH</t>
  </si>
  <si>
    <t>VYW</t>
  </si>
  <si>
    <t>All-Weather Floor Mats</t>
  </si>
  <si>
    <t>Cargo Shade</t>
  </si>
  <si>
    <t>PDF</t>
  </si>
  <si>
    <t>5KB</t>
  </si>
  <si>
    <t>Highway Safety Kit</t>
  </si>
  <si>
    <t>SB9</t>
  </si>
  <si>
    <t>SPZ</t>
  </si>
  <si>
    <t>SD3</t>
  </si>
  <si>
    <t>RIB</t>
  </si>
  <si>
    <t>SKX</t>
  </si>
  <si>
    <t>5RU</t>
  </si>
  <si>
    <t>S3I</t>
  </si>
  <si>
    <t>SFJ</t>
  </si>
  <si>
    <t>WBC</t>
  </si>
  <si>
    <t>VQQ</t>
  </si>
  <si>
    <t>PCI</t>
  </si>
  <si>
    <t>SPY</t>
  </si>
  <si>
    <t>Premium Carpeted Floor Mats</t>
  </si>
  <si>
    <t>5JR</t>
  </si>
  <si>
    <t>5V5</t>
  </si>
  <si>
    <t>Front and Rear Splash Guards</t>
  </si>
  <si>
    <t>5JL</t>
  </si>
  <si>
    <t>SDR</t>
  </si>
  <si>
    <t>Vertical Cargo Net</t>
  </si>
  <si>
    <t>SDE</t>
  </si>
  <si>
    <t>VLG</t>
  </si>
  <si>
    <t>Trailer Hitch</t>
  </si>
  <si>
    <t>PDK</t>
  </si>
  <si>
    <t>Cargo Carrier Mount</t>
  </si>
  <si>
    <t>RYC</t>
  </si>
  <si>
    <t>SA2</t>
  </si>
  <si>
    <t>eTrunk Foldable Organizer</t>
  </si>
  <si>
    <t>SUR</t>
  </si>
  <si>
    <t>Trailer Tire Pressure Monitor</t>
  </si>
  <si>
    <t>Sales Margin</t>
  </si>
  <si>
    <t>Service Margin</t>
  </si>
  <si>
    <t>Dealer Margin</t>
  </si>
  <si>
    <t>SFU</t>
  </si>
  <si>
    <t>22" Black Wheels</t>
  </si>
  <si>
    <t>VNI</t>
  </si>
  <si>
    <t>5AV</t>
  </si>
  <si>
    <t>GM Energy PowerShift Charger</t>
  </si>
  <si>
    <t>5CH</t>
  </si>
  <si>
    <t>RWV</t>
  </si>
  <si>
    <t>RYO</t>
  </si>
  <si>
    <t>RYU</t>
  </si>
  <si>
    <t>Invoice</t>
  </si>
  <si>
    <t>MSRP</t>
  </si>
  <si>
    <t>Estimated Sales Gross</t>
  </si>
  <si>
    <t>RYH</t>
  </si>
  <si>
    <t>GM NACS Level 2 Adapter</t>
  </si>
  <si>
    <t>Illuminated Door Sill Plates</t>
  </si>
  <si>
    <t>5ZV</t>
  </si>
  <si>
    <t>TRAILER HITCH</t>
  </si>
  <si>
    <t>5K2</t>
  </si>
  <si>
    <r>
      <t xml:space="preserve">Floor Liner Package </t>
    </r>
    <r>
      <rPr>
        <sz val="11"/>
        <rFont val="Arial"/>
        <family val="2"/>
      </rPr>
      <t>(RIA, CAV)</t>
    </r>
  </si>
  <si>
    <r>
      <t xml:space="preserve">Interior Protection Package </t>
    </r>
    <r>
      <rPr>
        <sz val="11"/>
        <rFont val="Arial"/>
        <family val="2"/>
      </rPr>
      <t>(VAV, VLI)</t>
    </r>
  </si>
  <si>
    <t xml:space="preserve">Remember to Fill in your Warranty Labor Rate and Dealer Service Gross % </t>
  </si>
  <si>
    <t>Click the home icon to return to this page from any page</t>
  </si>
  <si>
    <t>Welcome to the 2026 Cadillac ROI Guide!</t>
  </si>
  <si>
    <t xml:space="preserve">This is your navigation screen for the Cadillac ROI Guide! </t>
  </si>
  <si>
    <t>Front and Rear Performance Brake Kit</t>
  </si>
  <si>
    <t>Bluetooth Headphones by AKG</t>
  </si>
  <si>
    <t>Rear Fold Flat Cargo Organizer</t>
  </si>
  <si>
    <t>Front Window Shade</t>
  </si>
  <si>
    <t>SSX</t>
  </si>
  <si>
    <t>22" 12-Spoke Gloss Black Alloy Wheels</t>
  </si>
  <si>
    <t>Black Exhaust Tip Bezels</t>
  </si>
  <si>
    <t>Black Roof Rack Cross Rails</t>
  </si>
  <si>
    <t>Cargo Shade, Rear</t>
  </si>
  <si>
    <t>Rear Bumper Protector</t>
  </si>
  <si>
    <t>Cat-Back Performance Exhaust</t>
  </si>
  <si>
    <t>2026 Escalade</t>
  </si>
  <si>
    <t>GM PowerUp2 Charger</t>
  </si>
  <si>
    <t>CLR</t>
  </si>
  <si>
    <t>Console Refrigerator</t>
  </si>
  <si>
    <t>Cargo Collapsible Organizer</t>
  </si>
  <si>
    <t>eTRUNK Sliding Tray</t>
  </si>
  <si>
    <t>eTrunk Liner</t>
  </si>
  <si>
    <t>GM NACS DC To CCS Adapter</t>
  </si>
  <si>
    <t>Reflective Window Shade</t>
  </si>
  <si>
    <t>Roof Rack Cross Rails, Black</t>
  </si>
  <si>
    <t>eTRUNK Cargo Net</t>
  </si>
  <si>
    <t>2026 Vistiq</t>
  </si>
  <si>
    <t>PDP</t>
  </si>
  <si>
    <t>Black Gloss Nameplates</t>
  </si>
  <si>
    <t>Puddle Lamps</t>
  </si>
  <si>
    <t>Black Lug Nuts and Wheel Lock Kit</t>
  </si>
  <si>
    <t>2026 Optiq</t>
  </si>
  <si>
    <t>GM Energy PowerShift Charger (Dealer Provided)</t>
  </si>
  <si>
    <t>GM POWERUP2 CHARGER (Dealer Provided)</t>
  </si>
  <si>
    <t>RYK</t>
  </si>
  <si>
    <t>GM J1772 AC Adapter (Dealer Provided)</t>
  </si>
  <si>
    <t>RYW</t>
  </si>
  <si>
    <t>GM CCS DC Adapter (Dealer Provided)</t>
  </si>
  <si>
    <t>PUDDLE LAMPS</t>
  </si>
  <si>
    <t>WHEEL LOCKS</t>
  </si>
  <si>
    <t>CARGO SECURITY SHADE</t>
  </si>
  <si>
    <t>FRONT &amp; REAR SPLASH GUARDS</t>
  </si>
  <si>
    <t>CARGO NET</t>
  </si>
  <si>
    <t>2026 Lyriq</t>
  </si>
  <si>
    <t>Mirror Caps</t>
  </si>
  <si>
    <t>PDL</t>
  </si>
  <si>
    <t>SET</t>
  </si>
  <si>
    <t>SUZ</t>
  </si>
  <si>
    <t>Underhood Sight Shield</t>
  </si>
  <si>
    <t>VQP</t>
  </si>
  <si>
    <t>Front &amp; Rear Splash Guards</t>
  </si>
  <si>
    <t>2026 CT5</t>
  </si>
  <si>
    <t>5JS</t>
  </si>
  <si>
    <t>Black Mirror Covers</t>
  </si>
  <si>
    <t>Rear Sport Spoiler</t>
  </si>
  <si>
    <t>5WF</t>
  </si>
  <si>
    <t>Battery Protection Package</t>
  </si>
  <si>
    <t>5XR</t>
  </si>
  <si>
    <t>Grille, Black</t>
  </si>
  <si>
    <t>PDU</t>
  </si>
  <si>
    <t>Gloss Black Nameplate (1SV)</t>
  </si>
  <si>
    <t>Cargo Area Organizer</t>
  </si>
  <si>
    <t>Cadillac Edition First Aid Kit</t>
  </si>
  <si>
    <t>SCY</t>
  </si>
  <si>
    <t>Tail lamps</t>
  </si>
  <si>
    <t>SKO</t>
  </si>
  <si>
    <t>Seatback Organizer</t>
  </si>
  <si>
    <t>Lug Nuts, Black</t>
  </si>
  <si>
    <t>Wheel Locks, Black</t>
  </si>
  <si>
    <t>SQU</t>
  </si>
  <si>
    <t>Wheel locks, Chrome</t>
  </si>
  <si>
    <t>SSE</t>
  </si>
  <si>
    <t>20" alloy wheels with Polished/Dark Android Gloss finish</t>
  </si>
  <si>
    <t>SSJ</t>
  </si>
  <si>
    <t>20" alloy wheels with Gloss Black finish</t>
  </si>
  <si>
    <t>VAS</t>
  </si>
  <si>
    <t>Grille, Bright</t>
  </si>
  <si>
    <t>All Weather Floor Mats</t>
  </si>
  <si>
    <t>All Weather Cargo Mat</t>
  </si>
  <si>
    <t>Front and rear splash guards</t>
  </si>
  <si>
    <t>Floor Mats, Premium Carpeted</t>
  </si>
  <si>
    <t>2026 CT4</t>
  </si>
  <si>
    <t>Rear spoiler</t>
  </si>
  <si>
    <t>Black Spoiler</t>
  </si>
  <si>
    <t>E5K</t>
  </si>
  <si>
    <t>Gloss Black Grille Trim</t>
  </si>
  <si>
    <t>Gloss Black Nameplate</t>
  </si>
  <si>
    <t>Monochrome Emblem</t>
  </si>
  <si>
    <t>SGV</t>
  </si>
  <si>
    <t>19" alloy wheels with Polished/Dark Android Gloss finish</t>
  </si>
  <si>
    <t>SOU</t>
  </si>
  <si>
    <t>19" alloy wheels with Gloss Black finish</t>
  </si>
  <si>
    <t>Wheel Locks, Chrome</t>
  </si>
  <si>
    <t>2026 XT5</t>
  </si>
  <si>
    <t>Illuminated Cargo Sill Plate</t>
  </si>
  <si>
    <t>S2K</t>
  </si>
  <si>
    <t>20" Gloss Black Wheels</t>
  </si>
  <si>
    <t>Puddle Lamps, Cadillac Crest</t>
  </si>
  <si>
    <t>Tail Lamps, Sport Appearance Clear</t>
  </si>
  <si>
    <t>Monochrome Crest</t>
  </si>
  <si>
    <t>Sport Pedal Cover Set</t>
  </si>
  <si>
    <t>Trailer Hitch Cover</t>
  </si>
  <si>
    <t>Splash Guards, Molded, Front &amp; Rear</t>
  </si>
  <si>
    <t>Roof Rack Cross Rails, Bright</t>
  </si>
  <si>
    <t>Rear Fascia Protector</t>
  </si>
  <si>
    <t>Horizontal Cargo Net</t>
  </si>
  <si>
    <t>BS11.21.25</t>
  </si>
  <si>
    <t>2026 Escalade IQ</t>
  </si>
  <si>
    <t xml:space="preserve">Black Illuminated Cadillac Emblem </t>
  </si>
  <si>
    <t xml:space="preserve">Puddle Lamps, Cadillac Crest </t>
  </si>
  <si>
    <t xml:space="preserve">Wheel Locks </t>
  </si>
  <si>
    <t>ONYX PACKAGE (VSP, 5JR, RIK, S3I)</t>
  </si>
  <si>
    <t>FLOOR LINER PACKAGE (RIA, CAV)</t>
  </si>
  <si>
    <t>INTERIOR PROTECTION PACKAGE (VAV, CAV)</t>
  </si>
  <si>
    <t>CARGO CONVENIENCE PACKAGE (W2D, VRS)</t>
  </si>
  <si>
    <t>5FD</t>
  </si>
  <si>
    <t>5FE</t>
  </si>
  <si>
    <t>SA9</t>
  </si>
  <si>
    <t>W0A</t>
  </si>
  <si>
    <t>RZN</t>
  </si>
  <si>
    <t>SF3</t>
  </si>
  <si>
    <t>SF7</t>
  </si>
  <si>
    <t>SMS</t>
  </si>
  <si>
    <t>SNL</t>
  </si>
  <si>
    <t>pdb</t>
  </si>
  <si>
    <t>*ESTIMATED LABOR COMPLETE INFO NOT YET AVAILABLE</t>
  </si>
  <si>
    <t>5Y4</t>
  </si>
  <si>
    <t>spz</t>
  </si>
  <si>
    <t>RYN</t>
  </si>
  <si>
    <t>VSO</t>
  </si>
  <si>
    <t>VSP</t>
  </si>
  <si>
    <t>sfe</t>
  </si>
  <si>
    <t>SF9</t>
  </si>
  <si>
    <t>SFR</t>
  </si>
  <si>
    <t>ryH</t>
  </si>
  <si>
    <t>RXX</t>
  </si>
  <si>
    <t>SFD</t>
  </si>
  <si>
    <t>RY2</t>
  </si>
  <si>
    <t>SFC</t>
  </si>
  <si>
    <t>SOX</t>
  </si>
  <si>
    <t>SOY</t>
  </si>
  <si>
    <t>SPQ</t>
  </si>
  <si>
    <t>5HR</t>
  </si>
  <si>
    <t>QJ5</t>
  </si>
  <si>
    <t>RVO</t>
  </si>
  <si>
    <t>VMP</t>
  </si>
  <si>
    <t>spy</t>
  </si>
  <si>
    <r>
      <t xml:space="preserve">Onyx Lite Package </t>
    </r>
    <r>
      <rPr>
        <sz val="11"/>
        <rFont val="Arial"/>
        <family val="2"/>
      </rPr>
      <t>(S2K, SPY, SPZ, E5K, VNI, VMP, RIK, SFZ)</t>
    </r>
  </si>
  <si>
    <r>
      <t xml:space="preserve">Onyx Package </t>
    </r>
    <r>
      <rPr>
        <sz val="11"/>
        <rFont val="Arial"/>
        <family val="2"/>
      </rPr>
      <t>(S2K, SPY, SPZ, 5HR, E5K, VNI, QJ5, SJ9, RIK, SFZ, VMP)</t>
    </r>
  </si>
  <si>
    <r>
      <t xml:space="preserve">Floor Liner Package </t>
    </r>
    <r>
      <rPr>
        <sz val="11"/>
        <rFont val="Arial"/>
        <family val="2"/>
      </rPr>
      <t>(CAV, RIA)</t>
    </r>
  </si>
  <si>
    <r>
      <t xml:space="preserve">Interior Protection Package </t>
    </r>
    <r>
      <rPr>
        <sz val="11"/>
        <rFont val="Arial"/>
        <family val="2"/>
      </rPr>
      <t>(CAV, VAV)</t>
    </r>
  </si>
  <si>
    <r>
      <t xml:space="preserve">Bronze Accent Package </t>
    </r>
    <r>
      <rPr>
        <sz val="11"/>
        <rFont val="Arial"/>
        <family val="2"/>
      </rPr>
      <t>(SB9, SFZ, S2K, SPY, SPZ)</t>
    </r>
  </si>
  <si>
    <r>
      <t xml:space="preserve">Red Accent Package </t>
    </r>
    <r>
      <rPr>
        <sz val="11"/>
        <rFont val="Arial"/>
        <family val="2"/>
      </rPr>
      <t>(SB9, SFZ, S2K, SPY, SPZ)</t>
    </r>
  </si>
  <si>
    <r>
      <t xml:space="preserve">Blue Accent Package </t>
    </r>
    <r>
      <rPr>
        <sz val="11"/>
        <rFont val="Arial"/>
        <family val="2"/>
      </rPr>
      <t>(SB9, SFZ, S2K, SPY, SPZ)</t>
    </r>
  </si>
  <si>
    <r>
      <t xml:space="preserve">Premium Carpet Package </t>
    </r>
    <r>
      <rPr>
        <sz val="11"/>
        <rFont val="Arial"/>
        <family val="2"/>
      </rPr>
      <t>(VYW, W0A)</t>
    </r>
  </si>
  <si>
    <r>
      <t xml:space="preserve">Onyx Package </t>
    </r>
    <r>
      <rPr>
        <sz val="11"/>
        <rFont val="Arial"/>
        <family val="2"/>
      </rPr>
      <t>(SOU, SPZ, SPY, RIK, 5JS, 5XR, 5V5)</t>
    </r>
  </si>
  <si>
    <r>
      <t xml:space="preserve">Bronze Package </t>
    </r>
    <r>
      <rPr>
        <sz val="11"/>
        <rFont val="Arial"/>
        <family val="2"/>
      </rPr>
      <t>(SOX, SPY, SPZ, RY2, 5K2)</t>
    </r>
  </si>
  <si>
    <r>
      <t xml:space="preserve">Red Package </t>
    </r>
    <r>
      <rPr>
        <sz val="11"/>
        <rFont val="Arial"/>
        <family val="2"/>
      </rPr>
      <t>(SOY, SPY, SPZ, RY2, 5K2)</t>
    </r>
  </si>
  <si>
    <r>
      <t xml:space="preserve">Blue Package  </t>
    </r>
    <r>
      <rPr>
        <sz val="11"/>
        <rFont val="Arial"/>
        <family val="2"/>
      </rPr>
      <t>(SPQ, SPY, SPZ, RY2, 5K2)</t>
    </r>
  </si>
  <si>
    <r>
      <t xml:space="preserve">Exterior Accent Package </t>
    </r>
    <r>
      <rPr>
        <sz val="11"/>
        <rFont val="Arial"/>
        <family val="2"/>
      </rPr>
      <t>(SGV, 5V5)</t>
    </r>
  </si>
  <si>
    <r>
      <t xml:space="preserve">Radiant Package </t>
    </r>
    <r>
      <rPr>
        <sz val="11"/>
        <rFont val="Arial"/>
        <family val="2"/>
      </rPr>
      <t>(SGV, VAS, SFZ)</t>
    </r>
  </si>
  <si>
    <r>
      <t xml:space="preserve">Onyx Package </t>
    </r>
    <r>
      <rPr>
        <sz val="11"/>
        <rFont val="Arial"/>
        <family val="2"/>
      </rPr>
      <t>(SSJ, SPZ, SPY, RIK, 5JS, 5XR, RXX, 5V5)</t>
    </r>
  </si>
  <si>
    <r>
      <t xml:space="preserve">Bronze Package </t>
    </r>
    <r>
      <rPr>
        <sz val="11"/>
        <rFont val="Arial"/>
        <family val="2"/>
      </rPr>
      <t>(SKW, SPY, SPZ,5KB, SB9)</t>
    </r>
  </si>
  <si>
    <r>
      <t xml:space="preserve">Red Package </t>
    </r>
    <r>
      <rPr>
        <sz val="11"/>
        <rFont val="Arial"/>
        <family val="2"/>
      </rPr>
      <t>(SKX, SPY, SPZ, 5KB, SB9)</t>
    </r>
  </si>
  <si>
    <r>
      <t xml:space="preserve">Blue Package </t>
    </r>
    <r>
      <rPr>
        <sz val="11"/>
        <rFont val="Arial"/>
        <family val="2"/>
      </rPr>
      <t>(SQ9,SPY, SPZ, 5KB, SB9)</t>
    </r>
  </si>
  <si>
    <r>
      <t xml:space="preserve">Exterior Accent Package </t>
    </r>
    <r>
      <rPr>
        <sz val="11"/>
        <rFont val="Arial"/>
        <family val="2"/>
      </rPr>
      <t>(SSE, 5V5)</t>
    </r>
  </si>
  <si>
    <r>
      <t xml:space="preserve">Radiant Package </t>
    </r>
    <r>
      <rPr>
        <sz val="11"/>
        <rFont val="Arial"/>
        <family val="2"/>
      </rPr>
      <t>(SSE, VAS)</t>
    </r>
  </si>
  <si>
    <r>
      <t xml:space="preserve">Onyx Lite Package </t>
    </r>
    <r>
      <rPr>
        <sz val="11"/>
        <rFont val="Arial"/>
        <family val="2"/>
      </rPr>
      <t>(5JR, RIK)</t>
    </r>
  </si>
  <si>
    <r>
      <t xml:space="preserve">Onyx Package </t>
    </r>
    <r>
      <rPr>
        <sz val="11"/>
        <rFont val="Arial"/>
        <family val="2"/>
      </rPr>
      <t>(SET, RIK, 5JR, S3I)</t>
    </r>
  </si>
  <si>
    <r>
      <t xml:space="preserve">Bronze Accent Package </t>
    </r>
    <r>
      <rPr>
        <sz val="11"/>
        <rFont val="Arial"/>
        <family val="2"/>
      </rPr>
      <t>(SET, SF9)</t>
    </r>
  </si>
  <si>
    <r>
      <t xml:space="preserve">Red Accent Package </t>
    </r>
    <r>
      <rPr>
        <sz val="11"/>
        <rFont val="Arial"/>
        <family val="2"/>
      </rPr>
      <t>(SET, RIK, 5JR, S3I)</t>
    </r>
  </si>
  <si>
    <r>
      <t xml:space="preserve">Blue Accent Package </t>
    </r>
    <r>
      <rPr>
        <sz val="11"/>
        <rFont val="Arial"/>
        <family val="2"/>
      </rPr>
      <t>(SET, SF9)</t>
    </r>
  </si>
  <si>
    <r>
      <t xml:space="preserve">Cargo Convenience Package </t>
    </r>
    <r>
      <rPr>
        <sz val="11"/>
        <rFont val="Arial"/>
        <family val="2"/>
      </rPr>
      <t>(5JR, RIK)</t>
    </r>
  </si>
  <si>
    <r>
      <t xml:space="preserve">Radiant Package </t>
    </r>
    <r>
      <rPr>
        <sz val="11"/>
        <rFont val="Arial"/>
        <family val="2"/>
      </rPr>
      <t>(SFR, S3I)</t>
    </r>
  </si>
  <si>
    <r>
      <t xml:space="preserve">ONYX PACKAGE </t>
    </r>
    <r>
      <rPr>
        <sz val="11"/>
        <rFont val="Arial"/>
        <family val="2"/>
      </rPr>
      <t>(VSP, 5JR, RIK, S3I)</t>
    </r>
  </si>
  <si>
    <r>
      <t xml:space="preserve">FLOOR LINER PACKAGE </t>
    </r>
    <r>
      <rPr>
        <sz val="11"/>
        <rFont val="Arial"/>
        <family val="2"/>
      </rPr>
      <t>(RIA, CAV)</t>
    </r>
  </si>
  <si>
    <r>
      <t xml:space="preserve">INTERIOR PROTECTION PACKAGE </t>
    </r>
    <r>
      <rPr>
        <sz val="11"/>
        <rFont val="Arial"/>
        <family val="2"/>
      </rPr>
      <t>(VAV, CAV)</t>
    </r>
  </si>
  <si>
    <r>
      <t xml:space="preserve">CARGO CONVENIENCE PACKAGE </t>
    </r>
    <r>
      <rPr>
        <sz val="11"/>
        <rFont val="Arial"/>
        <family val="2"/>
      </rPr>
      <t>(W2D, VRS)</t>
    </r>
  </si>
  <si>
    <r>
      <t xml:space="preserve">PREMIUM CARPET PACKAGE </t>
    </r>
    <r>
      <rPr>
        <sz val="11"/>
        <rFont val="Arial"/>
        <family val="2"/>
      </rPr>
      <t>(VYW, W0A)</t>
    </r>
  </si>
  <si>
    <r>
      <t xml:space="preserve">Cargo Convenience Package </t>
    </r>
    <r>
      <rPr>
        <sz val="11"/>
        <rFont val="Arial"/>
        <family val="2"/>
      </rPr>
      <t>(W2D, VQP)</t>
    </r>
  </si>
  <si>
    <r>
      <t xml:space="preserve">eTRUNK Organizer Package </t>
    </r>
    <r>
      <rPr>
        <sz val="11"/>
        <rFont val="Arial"/>
        <family val="2"/>
      </rPr>
      <t>(RWV, SA2)</t>
    </r>
  </si>
  <si>
    <r>
      <t xml:space="preserve">Onyx Package </t>
    </r>
    <r>
      <rPr>
        <sz val="11"/>
        <rFont val="Arial"/>
        <family val="2"/>
      </rPr>
      <t>(SF7, RIK, S3I)</t>
    </r>
  </si>
  <si>
    <r>
      <t xml:space="preserve">Radiant Package </t>
    </r>
    <r>
      <rPr>
        <sz val="11"/>
        <rFont val="Arial"/>
        <family val="2"/>
      </rPr>
      <t>(SF3, S3I)</t>
    </r>
  </si>
  <si>
    <r>
      <t xml:space="preserve">Onyx Package </t>
    </r>
    <r>
      <rPr>
        <sz val="11"/>
        <rFont val="Arial"/>
        <family val="2"/>
      </rPr>
      <t>(RIK, 5FE, R88)</t>
    </r>
  </si>
  <si>
    <r>
      <t xml:space="preserve">Floor Liner Package </t>
    </r>
    <r>
      <rPr>
        <sz val="11"/>
        <rFont val="Arial"/>
        <family val="2"/>
      </rPr>
      <t>(AAK, RIB, CAV)</t>
    </r>
  </si>
  <si>
    <r>
      <t xml:space="preserve">Interior Protection Package </t>
    </r>
    <r>
      <rPr>
        <sz val="11"/>
        <rFont val="Arial"/>
        <family val="2"/>
      </rPr>
      <t>(RIB, VAV, CAV)</t>
    </r>
  </si>
  <si>
    <r>
      <t xml:space="preserve">Radiant Package </t>
    </r>
    <r>
      <rPr>
        <sz val="11"/>
        <rFont val="Arial"/>
        <family val="2"/>
      </rPr>
      <t>(5FD, SJ9, R88)</t>
    </r>
  </si>
  <si>
    <t>skW</t>
  </si>
  <si>
    <t>sq9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</si>
</sst>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"/>
    <numFmt numFmtId="165" formatCode="0.0"/>
    <numFmt numFmtId="166" formatCode="&quot;$&quot;#,##0.00"/>
    <numFmt numFmtId="167" formatCode="_(&quot;$&quot;* #,##0_);_(&quot;$&quot;* \(#,##0\);_(&quot;$&quot;* &quot;-&quot;??_);_(@_)"/>
    <numFmt numFmtId="168" formatCode="\$0"/>
    <numFmt numFmtId="169" formatCode="\$#,##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Arial"/>
      <family val="2"/>
    </font>
    <font>
      <sz val="11"/>
      <color rgb="FF000000"/>
      <name val="Arial"/>
      <family val="2"/>
    </font>
    <font>
      <b/>
      <sz val="11"/>
      <name val="Arial"/>
      <family val="2"/>
    </font>
    <font>
      <sz val="14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6">
    <xf numFmtId="0" fontId="0" fillId="0" borderId="0" xfId="0"/>
    <xf numFmtId="44" fontId="0" fillId="0" borderId="0" xfId="1" applyFont="1"/>
    <xf numFmtId="9" fontId="2" fillId="0" borderId="0" xfId="2" applyFont="1"/>
    <xf numFmtId="0" fontId="2" fillId="0" borderId="0" xfId="0" applyFont="1"/>
    <xf numFmtId="44" fontId="0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9" fontId="2" fillId="0" borderId="0" xfId="2" applyFont="1" applyAlignment="1">
      <alignment horizontal="center" vertical="center"/>
    </xf>
    <xf numFmtId="0" fontId="0" fillId="0" borderId="0" xfId="0" applyAlignment="1">
      <alignment horizontal="center"/>
    </xf>
    <xf numFmtId="165" fontId="0" fillId="0" borderId="0" xfId="0" applyNumberFormat="1"/>
    <xf numFmtId="165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 wrapText="1"/>
    </xf>
    <xf numFmtId="166" fontId="0" fillId="0" borderId="0" xfId="1" applyNumberFormat="1" applyFont="1"/>
    <xf numFmtId="166" fontId="0" fillId="0" borderId="0" xfId="0" applyNumberFormat="1"/>
    <xf numFmtId="166" fontId="2" fillId="0" borderId="0" xfId="0" applyNumberFormat="1" applyFont="1"/>
    <xf numFmtId="167" fontId="2" fillId="0" borderId="0" xfId="1" applyNumberFormat="1" applyFont="1"/>
    <xf numFmtId="167" fontId="0" fillId="0" borderId="0" xfId="1" applyNumberFormat="1" applyFont="1"/>
    <xf numFmtId="0" fontId="0" fillId="0" borderId="0" xfId="0" applyAlignment="1">
      <alignment vertical="center"/>
    </xf>
    <xf numFmtId="0" fontId="0" fillId="6" borderId="0" xfId="0" applyFill="1" applyAlignment="1">
      <alignment horizontal="center" vertical="center"/>
    </xf>
    <xf numFmtId="164" fontId="0" fillId="0" borderId="0" xfId="0" applyNumberFormat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165" fontId="2" fillId="3" borderId="31" xfId="0" applyNumberFormat="1" applyFont="1" applyFill="1" applyBorder="1" applyAlignment="1">
      <alignment horizontal="center" vertical="center"/>
    </xf>
    <xf numFmtId="9" fontId="2" fillId="7" borderId="12" xfId="2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2" fillId="3" borderId="33" xfId="0" applyFont="1" applyFill="1" applyBorder="1" applyAlignment="1">
      <alignment horizontal="center" vertical="center"/>
    </xf>
    <xf numFmtId="166" fontId="2" fillId="3" borderId="25" xfId="1" applyNumberFormat="1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164" fontId="2" fillId="4" borderId="26" xfId="0" applyNumberFormat="1" applyFont="1" applyFill="1" applyBorder="1" applyAlignment="1">
      <alignment horizontal="center" vertical="center"/>
    </xf>
    <xf numFmtId="164" fontId="2" fillId="4" borderId="27" xfId="0" applyNumberFormat="1" applyFont="1" applyFill="1" applyBorder="1" applyAlignment="1">
      <alignment horizontal="center" vertical="center"/>
    </xf>
    <xf numFmtId="164" fontId="2" fillId="4" borderId="28" xfId="0" applyNumberFormat="1" applyFont="1" applyFill="1" applyBorder="1" applyAlignment="1">
      <alignment horizontal="center" vertical="center"/>
    </xf>
    <xf numFmtId="167" fontId="2" fillId="7" borderId="12" xfId="0" applyNumberFormat="1" applyFont="1" applyFill="1" applyBorder="1" applyAlignment="1">
      <alignment horizontal="center" vertical="center" wrapText="1"/>
    </xf>
    <xf numFmtId="167" fontId="2" fillId="7" borderId="12" xfId="1" applyNumberFormat="1" applyFont="1" applyFill="1" applyBorder="1" applyAlignment="1">
      <alignment horizontal="center" vertical="center" wrapText="1"/>
    </xf>
    <xf numFmtId="167" fontId="2" fillId="4" borderId="35" xfId="0" applyNumberFormat="1" applyFont="1" applyFill="1" applyBorder="1" applyAlignment="1">
      <alignment horizontal="center" vertical="center" wrapText="1"/>
    </xf>
    <xf numFmtId="164" fontId="2" fillId="4" borderId="15" xfId="0" applyNumberFormat="1" applyFont="1" applyFill="1" applyBorder="1" applyAlignment="1">
      <alignment horizontal="center" vertical="center"/>
    </xf>
    <xf numFmtId="164" fontId="2" fillId="4" borderId="13" xfId="0" applyNumberFormat="1" applyFont="1" applyFill="1" applyBorder="1" applyAlignment="1">
      <alignment horizontal="center" vertical="center"/>
    </xf>
    <xf numFmtId="0" fontId="2" fillId="4" borderId="35" xfId="0" applyFont="1" applyFill="1" applyBorder="1" applyAlignment="1">
      <alignment horizontal="center" vertical="center" wrapText="1"/>
    </xf>
    <xf numFmtId="44" fontId="2" fillId="7" borderId="12" xfId="1" applyFont="1" applyFill="1" applyBorder="1" applyAlignment="1">
      <alignment horizontal="center" vertical="center" wrapText="1"/>
    </xf>
    <xf numFmtId="164" fontId="5" fillId="4" borderId="27" xfId="0" applyNumberFormat="1" applyFont="1" applyFill="1" applyBorder="1" applyAlignment="1">
      <alignment horizontal="center" vertical="center"/>
    </xf>
    <xf numFmtId="165" fontId="2" fillId="3" borderId="25" xfId="0" applyNumberFormat="1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6" fillId="0" borderId="29" xfId="0" applyFont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4" fillId="6" borderId="29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168" fontId="9" fillId="5" borderId="1" xfId="0" applyNumberFormat="1" applyFont="1" applyFill="1" applyBorder="1" applyAlignment="1">
      <alignment horizontal="center" vertical="center" shrinkToFit="1"/>
    </xf>
    <xf numFmtId="169" fontId="0" fillId="0" borderId="0" xfId="0" applyNumberFormat="1"/>
    <xf numFmtId="0" fontId="2" fillId="6" borderId="7" xfId="0" applyFont="1" applyFill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8" fillId="0" borderId="0" xfId="0" applyFont="1" applyAlignment="1">
      <alignment vertical="top"/>
    </xf>
    <xf numFmtId="0" fontId="10" fillId="0" borderId="0" xfId="0" applyFont="1" applyAlignment="1">
      <alignment vertical="top"/>
    </xf>
    <xf numFmtId="0" fontId="2" fillId="0" borderId="0" xfId="0" applyFont="1" applyAlignment="1">
      <alignment horizontal="left" vertical="center"/>
    </xf>
    <xf numFmtId="9" fontId="2" fillId="7" borderId="17" xfId="2" applyFont="1" applyFill="1" applyBorder="1" applyAlignment="1">
      <alignment horizontal="center" vertical="center"/>
    </xf>
    <xf numFmtId="164" fontId="2" fillId="7" borderId="17" xfId="1" applyNumberFormat="1" applyFont="1" applyFill="1" applyBorder="1" applyAlignment="1">
      <alignment horizontal="center" vertical="center"/>
    </xf>
    <xf numFmtId="164" fontId="2" fillId="7" borderId="17" xfId="0" applyNumberFormat="1" applyFont="1" applyFill="1" applyBorder="1" applyAlignment="1">
      <alignment horizontal="center" vertical="center"/>
    </xf>
    <xf numFmtId="165" fontId="2" fillId="3" borderId="37" xfId="0" applyNumberFormat="1" applyFont="1" applyFill="1" applyBorder="1" applyAlignment="1">
      <alignment horizontal="center" vertical="center"/>
    </xf>
    <xf numFmtId="9" fontId="2" fillId="7" borderId="23" xfId="2" applyFont="1" applyFill="1" applyBorder="1" applyAlignment="1">
      <alignment horizontal="center" vertical="center"/>
    </xf>
    <xf numFmtId="168" fontId="9" fillId="2" borderId="1" xfId="0" applyNumberFormat="1" applyFont="1" applyFill="1" applyBorder="1" applyAlignment="1">
      <alignment horizontal="center" vertical="center" shrinkToFit="1"/>
    </xf>
    <xf numFmtId="44" fontId="2" fillId="3" borderId="25" xfId="1" applyFont="1" applyFill="1" applyBorder="1" applyAlignment="1">
      <alignment horizontal="center" vertical="center" wrapText="1"/>
    </xf>
    <xf numFmtId="44" fontId="2" fillId="3" borderId="39" xfId="1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left" vertical="center"/>
    </xf>
    <xf numFmtId="0" fontId="4" fillId="6" borderId="7" xfId="0" applyFont="1" applyFill="1" applyBorder="1" applyAlignment="1">
      <alignment vertical="center"/>
    </xf>
    <xf numFmtId="165" fontId="2" fillId="9" borderId="31" xfId="0" applyNumberFormat="1" applyFont="1" applyFill="1" applyBorder="1" applyAlignment="1">
      <alignment horizontal="center" vertical="center"/>
    </xf>
    <xf numFmtId="165" fontId="0" fillId="9" borderId="16" xfId="0" applyNumberFormat="1" applyFill="1" applyBorder="1" applyAlignment="1">
      <alignment horizontal="center" vertical="center"/>
    </xf>
    <xf numFmtId="167" fontId="2" fillId="8" borderId="12" xfId="1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6" borderId="29" xfId="0" applyFont="1" applyFill="1" applyBorder="1" applyAlignment="1">
      <alignment horizontal="center" vertical="center" wrapText="1"/>
    </xf>
    <xf numFmtId="165" fontId="2" fillId="9" borderId="31" xfId="0" applyNumberFormat="1" applyFont="1" applyFill="1" applyBorder="1" applyAlignment="1">
      <alignment horizontal="center" vertical="center" wrapText="1"/>
    </xf>
    <xf numFmtId="9" fontId="2" fillId="8" borderId="32" xfId="2" applyFont="1" applyFill="1" applyBorder="1" applyAlignment="1">
      <alignment horizontal="center" vertical="center" wrapText="1"/>
    </xf>
    <xf numFmtId="164" fontId="2" fillId="8" borderId="23" xfId="1" applyNumberFormat="1" applyFont="1" applyFill="1" applyBorder="1" applyAlignment="1">
      <alignment horizontal="center" vertical="center" wrapText="1"/>
    </xf>
    <xf numFmtId="164" fontId="2" fillId="4" borderId="15" xfId="1" applyNumberFormat="1" applyFont="1" applyFill="1" applyBorder="1" applyAlignment="1">
      <alignment horizontal="center" vertical="center" wrapText="1"/>
    </xf>
    <xf numFmtId="9" fontId="2" fillId="8" borderId="3" xfId="2" applyFont="1" applyFill="1" applyBorder="1" applyAlignment="1">
      <alignment horizontal="center" vertical="center" wrapText="1"/>
    </xf>
    <xf numFmtId="8" fontId="0" fillId="0" borderId="0" xfId="0" applyNumberFormat="1" applyAlignment="1">
      <alignment wrapText="1"/>
    </xf>
    <xf numFmtId="164" fontId="2" fillId="8" borderId="34" xfId="1" applyNumberFormat="1" applyFont="1" applyFill="1" applyBorder="1" applyAlignment="1">
      <alignment horizontal="center" vertical="center" wrapText="1"/>
    </xf>
    <xf numFmtId="164" fontId="2" fillId="4" borderId="14" xfId="1" applyNumberFormat="1" applyFont="1" applyFill="1" applyBorder="1" applyAlignment="1">
      <alignment horizontal="center" vertical="center" wrapText="1"/>
    </xf>
    <xf numFmtId="9" fontId="2" fillId="8" borderId="40" xfId="2" applyFont="1" applyFill="1" applyBorder="1" applyAlignment="1">
      <alignment horizontal="center" vertical="center" wrapText="1"/>
    </xf>
    <xf numFmtId="164" fontId="2" fillId="8" borderId="17" xfId="1" applyNumberFormat="1" applyFont="1" applyFill="1" applyBorder="1" applyAlignment="1">
      <alignment horizontal="center" vertical="center" wrapText="1"/>
    </xf>
    <xf numFmtId="164" fontId="2" fillId="4" borderId="26" xfId="1" applyNumberFormat="1" applyFont="1" applyFill="1" applyBorder="1" applyAlignment="1">
      <alignment horizontal="center" vertical="center" wrapText="1"/>
    </xf>
    <xf numFmtId="9" fontId="2" fillId="8" borderId="17" xfId="2" applyFont="1" applyFill="1" applyBorder="1" applyAlignment="1">
      <alignment horizontal="center" vertical="center" wrapText="1"/>
    </xf>
    <xf numFmtId="9" fontId="2" fillId="8" borderId="23" xfId="2" applyFont="1" applyFill="1" applyBorder="1" applyAlignment="1">
      <alignment horizontal="center" vertical="center" wrapText="1"/>
    </xf>
    <xf numFmtId="9" fontId="2" fillId="8" borderId="19" xfId="2" applyFont="1" applyFill="1" applyBorder="1" applyAlignment="1">
      <alignment horizontal="center" vertical="center" wrapText="1"/>
    </xf>
    <xf numFmtId="164" fontId="2" fillId="4" borderId="27" xfId="1" applyNumberFormat="1" applyFont="1" applyFill="1" applyBorder="1" applyAlignment="1">
      <alignment horizontal="center" vertical="center" wrapText="1"/>
    </xf>
    <xf numFmtId="44" fontId="0" fillId="0" borderId="0" xfId="1" applyFont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44" fontId="2" fillId="0" borderId="0" xfId="1" applyFont="1" applyAlignment="1">
      <alignment horizontal="center" vertical="center" wrapText="1"/>
    </xf>
    <xf numFmtId="9" fontId="2" fillId="0" borderId="0" xfId="2" applyFont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165" fontId="5" fillId="9" borderId="31" xfId="0" applyNumberFormat="1" applyFont="1" applyFill="1" applyBorder="1" applyAlignment="1">
      <alignment horizontal="center" vertical="center"/>
    </xf>
    <xf numFmtId="0" fontId="0" fillId="6" borderId="0" xfId="0" applyFill="1"/>
    <xf numFmtId="0" fontId="7" fillId="9" borderId="27" xfId="0" applyFont="1" applyFill="1" applyBorder="1" applyAlignment="1" applyProtection="1">
      <alignment horizontal="center" vertical="center"/>
      <protection hidden="1"/>
    </xf>
    <xf numFmtId="166" fontId="2" fillId="3" borderId="4" xfId="1" applyNumberFormat="1" applyFont="1" applyFill="1" applyBorder="1" applyAlignment="1">
      <alignment horizontal="center" vertical="center"/>
    </xf>
    <xf numFmtId="169" fontId="9" fillId="2" borderId="1" xfId="0" applyNumberFormat="1" applyFont="1" applyFill="1" applyBorder="1" applyAlignment="1">
      <alignment horizontal="center" vertical="center" shrinkToFit="1"/>
    </xf>
    <xf numFmtId="169" fontId="9" fillId="5" borderId="1" xfId="0" applyNumberFormat="1" applyFont="1" applyFill="1" applyBorder="1" applyAlignment="1">
      <alignment horizontal="center" vertical="top" shrinkToFit="1"/>
    </xf>
    <xf numFmtId="44" fontId="0" fillId="6" borderId="0" xfId="1" applyFont="1" applyFill="1" applyAlignment="1">
      <alignment horizontal="center" vertical="center"/>
    </xf>
    <xf numFmtId="165" fontId="0" fillId="6" borderId="0" xfId="0" applyNumberFormat="1" applyFill="1"/>
    <xf numFmtId="0" fontId="2" fillId="6" borderId="0" xfId="0" applyFont="1" applyFill="1" applyAlignment="1">
      <alignment horizontal="center" vertical="center"/>
    </xf>
    <xf numFmtId="9" fontId="2" fillId="6" borderId="0" xfId="2" applyFont="1" applyFill="1" applyAlignment="1">
      <alignment horizontal="center" vertical="center"/>
    </xf>
    <xf numFmtId="167" fontId="2" fillId="4" borderId="42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vertical="top" wrapText="1"/>
    </xf>
    <xf numFmtId="165" fontId="0" fillId="9" borderId="1" xfId="0" applyNumberFormat="1" applyFill="1" applyBorder="1" applyAlignment="1" applyProtection="1">
      <alignment horizontal="center"/>
      <protection hidden="1"/>
    </xf>
    <xf numFmtId="164" fontId="2" fillId="4" borderId="1" xfId="0" applyNumberFormat="1" applyFont="1" applyFill="1" applyBorder="1" applyAlignment="1">
      <alignment horizontal="center"/>
    </xf>
    <xf numFmtId="168" fontId="9" fillId="5" borderId="1" xfId="0" applyNumberFormat="1" applyFont="1" applyFill="1" applyBorder="1" applyAlignment="1">
      <alignment horizontal="center" vertical="top" shrinkToFit="1"/>
    </xf>
    <xf numFmtId="0" fontId="8" fillId="0" borderId="0" xfId="0" applyFont="1" applyAlignment="1">
      <alignment horizontal="center" vertical="top"/>
    </xf>
    <xf numFmtId="165" fontId="0" fillId="9" borderId="16" xfId="0" applyNumberFormat="1" applyFill="1" applyBorder="1" applyAlignment="1" applyProtection="1">
      <alignment horizontal="center" vertical="center"/>
      <protection hidden="1"/>
    </xf>
    <xf numFmtId="9" fontId="2" fillId="7" borderId="19" xfId="2" applyFont="1" applyFill="1" applyBorder="1" applyAlignment="1">
      <alignment horizontal="center" vertical="center"/>
    </xf>
    <xf numFmtId="9" fontId="2" fillId="7" borderId="21" xfId="2" applyFont="1" applyFill="1" applyBorder="1" applyAlignment="1">
      <alignment horizontal="center" vertical="center"/>
    </xf>
    <xf numFmtId="9" fontId="5" fillId="7" borderId="19" xfId="2" applyFont="1" applyFill="1" applyBorder="1" applyAlignment="1">
      <alignment horizontal="center" vertical="center"/>
    </xf>
    <xf numFmtId="164" fontId="5" fillId="7" borderId="19" xfId="1" applyNumberFormat="1" applyFont="1" applyFill="1" applyBorder="1" applyAlignment="1">
      <alignment horizontal="center" vertical="center"/>
    </xf>
    <xf numFmtId="167" fontId="2" fillId="7" borderId="41" xfId="0" applyNumberFormat="1" applyFont="1" applyFill="1" applyBorder="1" applyAlignment="1">
      <alignment horizontal="center" vertical="center" wrapText="1"/>
    </xf>
    <xf numFmtId="165" fontId="2" fillId="9" borderId="25" xfId="0" applyNumberFormat="1" applyFont="1" applyFill="1" applyBorder="1" applyAlignment="1">
      <alignment horizontal="center" vertical="center"/>
    </xf>
    <xf numFmtId="167" fontId="2" fillId="7" borderId="41" xfId="1" applyNumberFormat="1" applyFont="1" applyFill="1" applyBorder="1" applyAlignment="1">
      <alignment horizontal="center" vertical="center" wrapText="1"/>
    </xf>
    <xf numFmtId="9" fontId="2" fillId="7" borderId="41" xfId="2" applyFont="1" applyFill="1" applyBorder="1" applyAlignment="1">
      <alignment horizontal="center" vertical="center"/>
    </xf>
    <xf numFmtId="164" fontId="2" fillId="7" borderId="1" xfId="1" applyNumberFormat="1" applyFont="1" applyFill="1" applyBorder="1" applyAlignment="1">
      <alignment horizontal="center" vertical="center"/>
    </xf>
    <xf numFmtId="165" fontId="0" fillId="9" borderId="1" xfId="0" applyNumberFormat="1" applyFill="1" applyBorder="1" applyAlignment="1" applyProtection="1">
      <alignment horizontal="center" vertical="center"/>
      <protection hidden="1"/>
    </xf>
    <xf numFmtId="164" fontId="2" fillId="4" borderId="1" xfId="1" applyNumberFormat="1" applyFont="1" applyFill="1" applyBorder="1" applyAlignment="1">
      <alignment horizontal="center" vertical="center"/>
    </xf>
    <xf numFmtId="9" fontId="2" fillId="7" borderId="1" xfId="2" applyFont="1" applyFill="1" applyBorder="1" applyAlignment="1">
      <alignment horizontal="center" vertical="center"/>
    </xf>
    <xf numFmtId="164" fontId="5" fillId="7" borderId="1" xfId="1" applyNumberFormat="1" applyFont="1" applyFill="1" applyBorder="1" applyAlignment="1">
      <alignment horizontal="center" vertical="center"/>
    </xf>
    <xf numFmtId="164" fontId="5" fillId="4" borderId="1" xfId="1" applyNumberFormat="1" applyFont="1" applyFill="1" applyBorder="1" applyAlignment="1">
      <alignment horizontal="center" vertical="center"/>
    </xf>
    <xf numFmtId="9" fontId="5" fillId="7" borderId="1" xfId="2" applyFont="1" applyFill="1" applyBorder="1" applyAlignment="1">
      <alignment horizontal="center" vertical="center"/>
    </xf>
    <xf numFmtId="164" fontId="2" fillId="7" borderId="19" xfId="0" applyNumberFormat="1" applyFont="1" applyFill="1" applyBorder="1" applyAlignment="1">
      <alignment horizontal="center" vertical="center"/>
    </xf>
    <xf numFmtId="164" fontId="2" fillId="7" borderId="21" xfId="0" applyNumberFormat="1" applyFont="1" applyFill="1" applyBorder="1" applyAlignment="1">
      <alignment horizontal="center" vertical="center"/>
    </xf>
    <xf numFmtId="164" fontId="2" fillId="7" borderId="36" xfId="0" applyNumberFormat="1" applyFont="1" applyFill="1" applyBorder="1" applyAlignment="1">
      <alignment horizontal="center" vertical="center"/>
    </xf>
    <xf numFmtId="168" fontId="9" fillId="2" borderId="43" xfId="0" applyNumberFormat="1" applyFont="1" applyFill="1" applyBorder="1" applyAlignment="1">
      <alignment horizontal="center" vertical="center" shrinkToFit="1"/>
    </xf>
    <xf numFmtId="168" fontId="9" fillId="2" borderId="17" xfId="0" applyNumberFormat="1" applyFont="1" applyFill="1" applyBorder="1" applyAlignment="1">
      <alignment horizontal="center" vertical="center" shrinkToFit="1"/>
    </xf>
    <xf numFmtId="168" fontId="9" fillId="2" borderId="19" xfId="0" applyNumberFormat="1" applyFont="1" applyFill="1" applyBorder="1" applyAlignment="1">
      <alignment horizontal="center" vertical="center" shrinkToFit="1"/>
    </xf>
    <xf numFmtId="168" fontId="9" fillId="2" borderId="44" xfId="0" applyNumberFormat="1" applyFont="1" applyFill="1" applyBorder="1" applyAlignment="1">
      <alignment horizontal="center" vertical="center" shrinkToFit="1"/>
    </xf>
    <xf numFmtId="168" fontId="9" fillId="2" borderId="21" xfId="0" applyNumberFormat="1" applyFont="1" applyFill="1" applyBorder="1" applyAlignment="1">
      <alignment horizontal="center" vertical="center" shrinkToFit="1"/>
    </xf>
    <xf numFmtId="0" fontId="10" fillId="2" borderId="43" xfId="0" applyFont="1" applyFill="1" applyBorder="1" applyAlignment="1">
      <alignment vertical="top" wrapText="1"/>
    </xf>
    <xf numFmtId="0" fontId="10" fillId="2" borderId="1" xfId="0" applyFont="1" applyFill="1" applyBorder="1" applyAlignment="1">
      <alignment vertical="top" wrapText="1"/>
    </xf>
    <xf numFmtId="0" fontId="10" fillId="2" borderId="44" xfId="0" applyFont="1" applyFill="1" applyBorder="1" applyAlignment="1">
      <alignment vertical="top" wrapText="1"/>
    </xf>
    <xf numFmtId="0" fontId="8" fillId="5" borderId="1" xfId="0" applyFont="1" applyFill="1" applyBorder="1" applyAlignment="1">
      <alignment vertical="top"/>
    </xf>
    <xf numFmtId="0" fontId="8" fillId="2" borderId="1" xfId="0" applyFont="1" applyFill="1" applyBorder="1" applyAlignment="1">
      <alignment vertical="top"/>
    </xf>
    <xf numFmtId="0" fontId="10" fillId="2" borderId="1" xfId="0" applyFont="1" applyFill="1" applyBorder="1" applyAlignment="1">
      <alignment vertical="top"/>
    </xf>
    <xf numFmtId="169" fontId="9" fillId="5" borderId="1" xfId="0" applyNumberFormat="1" applyFont="1" applyFill="1" applyBorder="1" applyAlignment="1">
      <alignment horizontal="center" vertical="center" shrinkToFit="1"/>
    </xf>
    <xf numFmtId="44" fontId="2" fillId="10" borderId="41" xfId="1" applyFont="1" applyFill="1" applyBorder="1" applyAlignment="1">
      <alignment horizontal="center" vertical="center"/>
    </xf>
    <xf numFmtId="44" fontId="2" fillId="7" borderId="4" xfId="1" applyFont="1" applyFill="1" applyBorder="1" applyAlignment="1">
      <alignment horizontal="center" vertical="center" wrapText="1"/>
    </xf>
    <xf numFmtId="165" fontId="2" fillId="10" borderId="25" xfId="0" applyNumberFormat="1" applyFont="1" applyFill="1" applyBorder="1" applyAlignment="1">
      <alignment horizontal="center" vertical="center"/>
    </xf>
    <xf numFmtId="44" fontId="2" fillId="7" borderId="41" xfId="1" applyFont="1" applyFill="1" applyBorder="1" applyAlignment="1">
      <alignment horizontal="center" vertical="center" wrapText="1"/>
    </xf>
    <xf numFmtId="0" fontId="2" fillId="4" borderId="4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top" wrapText="1"/>
    </xf>
    <xf numFmtId="0" fontId="8" fillId="5" borderId="1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center" wrapText="1"/>
    </xf>
    <xf numFmtId="166" fontId="2" fillId="7" borderId="4" xfId="1" applyNumberFormat="1" applyFont="1" applyFill="1" applyBorder="1" applyAlignment="1">
      <alignment horizontal="center" vertical="center"/>
    </xf>
    <xf numFmtId="9" fontId="5" fillId="7" borderId="24" xfId="2" applyFont="1" applyFill="1" applyBorder="1" applyAlignment="1">
      <alignment horizontal="center" vertical="center"/>
    </xf>
    <xf numFmtId="0" fontId="7" fillId="9" borderId="1" xfId="0" applyFont="1" applyFill="1" applyBorder="1" applyAlignment="1" applyProtection="1">
      <alignment horizontal="center" vertical="center"/>
      <protection hidden="1"/>
    </xf>
    <xf numFmtId="164" fontId="5" fillId="4" borderId="1" xfId="0" applyNumberFormat="1" applyFont="1" applyFill="1" applyBorder="1" applyAlignment="1">
      <alignment horizontal="center" vertical="center"/>
    </xf>
    <xf numFmtId="0" fontId="7" fillId="9" borderId="13" xfId="0" applyFont="1" applyFill="1" applyBorder="1" applyAlignment="1" applyProtection="1">
      <alignment horizontal="center" vertical="center"/>
      <protection hidden="1"/>
    </xf>
    <xf numFmtId="164" fontId="5" fillId="7" borderId="24" xfId="1" applyNumberFormat="1" applyFont="1" applyFill="1" applyBorder="1" applyAlignment="1">
      <alignment horizontal="center" vertical="center"/>
    </xf>
    <xf numFmtId="164" fontId="5" fillId="4" borderId="13" xfId="0" applyNumberFormat="1" applyFont="1" applyFill="1" applyBorder="1" applyAlignment="1">
      <alignment horizontal="center" vertical="center"/>
    </xf>
    <xf numFmtId="9" fontId="2" fillId="7" borderId="24" xfId="2" applyFont="1" applyFill="1" applyBorder="1" applyAlignment="1">
      <alignment horizontal="center" vertical="center"/>
    </xf>
    <xf numFmtId="0" fontId="7" fillId="9" borderId="43" xfId="0" applyFont="1" applyFill="1" applyBorder="1" applyAlignment="1" applyProtection="1">
      <alignment horizontal="center" vertical="center"/>
      <protection hidden="1"/>
    </xf>
    <xf numFmtId="164" fontId="5" fillId="7" borderId="43" xfId="1" applyNumberFormat="1" applyFont="1" applyFill="1" applyBorder="1" applyAlignment="1">
      <alignment horizontal="center" vertical="center"/>
    </xf>
    <xf numFmtId="164" fontId="5" fillId="4" borderId="43" xfId="0" applyNumberFormat="1" applyFont="1" applyFill="1" applyBorder="1" applyAlignment="1">
      <alignment horizontal="center" vertical="center"/>
    </xf>
    <xf numFmtId="9" fontId="5" fillId="7" borderId="17" xfId="2" applyFont="1" applyFill="1" applyBorder="1" applyAlignment="1">
      <alignment horizontal="center" vertical="center"/>
    </xf>
    <xf numFmtId="164" fontId="5" fillId="7" borderId="44" xfId="1" applyNumberFormat="1" applyFont="1" applyFill="1" applyBorder="1" applyAlignment="1">
      <alignment horizontal="center" vertical="center"/>
    </xf>
    <xf numFmtId="164" fontId="5" fillId="4" borderId="44" xfId="0" applyNumberFormat="1" applyFont="1" applyFill="1" applyBorder="1" applyAlignment="1">
      <alignment horizontal="center" vertical="center"/>
    </xf>
    <xf numFmtId="164" fontId="2" fillId="7" borderId="1" xfId="0" applyNumberFormat="1" applyFont="1" applyFill="1" applyBorder="1" applyAlignment="1">
      <alignment horizontal="center"/>
    </xf>
    <xf numFmtId="164" fontId="2" fillId="7" borderId="1" xfId="1" applyNumberFormat="1" applyFont="1" applyFill="1" applyBorder="1" applyAlignment="1">
      <alignment horizontal="center"/>
    </xf>
    <xf numFmtId="9" fontId="2" fillId="7" borderId="1" xfId="2" applyFont="1" applyFill="1" applyBorder="1" applyAlignment="1">
      <alignment horizontal="center"/>
    </xf>
    <xf numFmtId="0" fontId="7" fillId="10" borderId="1" xfId="0" applyFont="1" applyFill="1" applyBorder="1" applyAlignment="1" applyProtection="1">
      <alignment horizontal="center" vertical="center"/>
      <protection hidden="1"/>
    </xf>
    <xf numFmtId="0" fontId="8" fillId="5" borderId="2" xfId="0" applyFont="1" applyFill="1" applyBorder="1" applyAlignment="1">
      <alignment vertical="top" wrapText="1"/>
    </xf>
    <xf numFmtId="164" fontId="5" fillId="7" borderId="2" xfId="1" applyNumberFormat="1" applyFont="1" applyFill="1" applyBorder="1" applyAlignment="1">
      <alignment horizontal="center" vertical="center"/>
    </xf>
    <xf numFmtId="0" fontId="7" fillId="10" borderId="2" xfId="0" applyFont="1" applyFill="1" applyBorder="1" applyAlignment="1" applyProtection="1">
      <alignment horizontal="center" vertical="center"/>
      <protection hidden="1"/>
    </xf>
    <xf numFmtId="164" fontId="5" fillId="4" borderId="2" xfId="0" applyNumberFormat="1" applyFont="1" applyFill="1" applyBorder="1" applyAlignment="1">
      <alignment horizontal="center" vertical="center"/>
    </xf>
    <xf numFmtId="9" fontId="5" fillId="7" borderId="2" xfId="2" applyFont="1" applyFill="1" applyBorder="1" applyAlignment="1">
      <alignment horizontal="center" vertical="center"/>
    </xf>
    <xf numFmtId="0" fontId="7" fillId="10" borderId="43" xfId="0" applyFont="1" applyFill="1" applyBorder="1" applyAlignment="1" applyProtection="1">
      <alignment horizontal="center" vertical="center"/>
      <protection hidden="1"/>
    </xf>
    <xf numFmtId="0" fontId="7" fillId="10" borderId="44" xfId="0" applyFont="1" applyFill="1" applyBorder="1" applyAlignment="1" applyProtection="1">
      <alignment horizontal="center" vertical="center"/>
      <protection hidden="1"/>
    </xf>
    <xf numFmtId="9" fontId="5" fillId="7" borderId="21" xfId="2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6" borderId="5" xfId="0" applyFill="1" applyBorder="1"/>
    <xf numFmtId="0" fontId="0" fillId="6" borderId="6" xfId="0" applyFill="1" applyBorder="1"/>
    <xf numFmtId="0" fontId="0" fillId="6" borderId="9" xfId="0" applyFill="1" applyBorder="1"/>
    <xf numFmtId="0" fontId="0" fillId="6" borderId="10" xfId="0" applyFill="1" applyBorder="1"/>
    <xf numFmtId="0" fontId="0" fillId="6" borderId="7" xfId="0" applyFill="1" applyBorder="1"/>
    <xf numFmtId="0" fontId="0" fillId="6" borderId="8" xfId="0" applyFill="1" applyBorder="1"/>
    <xf numFmtId="164" fontId="2" fillId="7" borderId="12" xfId="0" applyNumberFormat="1" applyFont="1" applyFill="1" applyBorder="1" applyAlignment="1">
      <alignment horizontal="center" vertical="center"/>
    </xf>
    <xf numFmtId="164" fontId="2" fillId="7" borderId="12" xfId="1" applyNumberFormat="1" applyFont="1" applyFill="1" applyBorder="1" applyAlignment="1">
      <alignment horizontal="center" vertical="center"/>
    </xf>
    <xf numFmtId="164" fontId="2" fillId="7" borderId="23" xfId="0" applyNumberFormat="1" applyFont="1" applyFill="1" applyBorder="1" applyAlignment="1">
      <alignment horizontal="center" vertical="center"/>
    </xf>
    <xf numFmtId="164" fontId="2" fillId="7" borderId="23" xfId="1" applyNumberFormat="1" applyFont="1" applyFill="1" applyBorder="1" applyAlignment="1">
      <alignment horizontal="center" vertical="center"/>
    </xf>
    <xf numFmtId="0" fontId="2" fillId="6" borderId="7" xfId="0" applyFont="1" applyFill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165" fontId="0" fillId="9" borderId="22" xfId="0" applyNumberFormat="1" applyFill="1" applyBorder="1" applyAlignment="1">
      <alignment horizontal="center" vertical="center" wrapText="1"/>
    </xf>
    <xf numFmtId="165" fontId="0" fillId="9" borderId="37" xfId="0" applyNumberFormat="1" applyFill="1" applyBorder="1" applyAlignment="1">
      <alignment horizontal="center" vertical="center" wrapText="1"/>
    </xf>
    <xf numFmtId="165" fontId="0" fillId="9" borderId="16" xfId="0" applyNumberForma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/>
    </xf>
    <xf numFmtId="0" fontId="2" fillId="6" borderId="0" xfId="0" applyFont="1" applyFill="1" applyAlignment="1">
      <alignment horizontal="left"/>
    </xf>
    <xf numFmtId="0" fontId="4" fillId="6" borderId="0" xfId="0" applyFont="1" applyFill="1" applyAlignment="1">
      <alignment horizontal="center" vertical="center"/>
    </xf>
    <xf numFmtId="164" fontId="2" fillId="8" borderId="36" xfId="1" applyNumberFormat="1" applyFont="1" applyFill="1" applyBorder="1" applyAlignment="1">
      <alignment horizontal="center" vertical="center" wrapText="1"/>
    </xf>
    <xf numFmtId="164" fontId="2" fillId="8" borderId="45" xfId="1" applyNumberFormat="1" applyFont="1" applyFill="1" applyBorder="1" applyAlignment="1">
      <alignment horizontal="center" vertical="center" wrapText="1"/>
    </xf>
    <xf numFmtId="168" fontId="9" fillId="5" borderId="2" xfId="0" applyNumberFormat="1" applyFont="1" applyFill="1" applyBorder="1" applyAlignment="1">
      <alignment horizontal="center" vertical="center" shrinkToFit="1"/>
    </xf>
    <xf numFmtId="0" fontId="8" fillId="2" borderId="16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169" fontId="12" fillId="7" borderId="27" xfId="0" applyNumberFormat="1" applyFont="1" applyFill="1" applyBorder="1" applyAlignment="1">
      <alignment horizontal="center" vertical="center" shrinkToFit="1"/>
    </xf>
    <xf numFmtId="169" fontId="12" fillId="7" borderId="13" xfId="0" applyNumberFormat="1" applyFont="1" applyFill="1" applyBorder="1" applyAlignment="1">
      <alignment horizontal="center" vertical="center" shrinkToFit="1"/>
    </xf>
    <xf numFmtId="169" fontId="12" fillId="7" borderId="26" xfId="0" applyNumberFormat="1" applyFont="1" applyFill="1" applyBorder="1" applyAlignment="1">
      <alignment horizontal="center" vertical="top" shrinkToFit="1"/>
    </xf>
    <xf numFmtId="169" fontId="12" fillId="7" borderId="27" xfId="0" applyNumberFormat="1" applyFont="1" applyFill="1" applyBorder="1" applyAlignment="1">
      <alignment horizontal="center" vertical="top" shrinkToFit="1"/>
    </xf>
    <xf numFmtId="168" fontId="9" fillId="2" borderId="43" xfId="0" applyNumberFormat="1" applyFont="1" applyFill="1" applyBorder="1" applyAlignment="1">
      <alignment horizontal="center" vertical="top" shrinkToFit="1"/>
    </xf>
    <xf numFmtId="168" fontId="9" fillId="2" borderId="17" xfId="0" applyNumberFormat="1" applyFont="1" applyFill="1" applyBorder="1" applyAlignment="1">
      <alignment horizontal="left" vertical="top" indent="2" shrinkToFit="1"/>
    </xf>
    <xf numFmtId="168" fontId="9" fillId="2" borderId="1" xfId="0" applyNumberFormat="1" applyFont="1" applyFill="1" applyBorder="1" applyAlignment="1">
      <alignment horizontal="center" vertical="top" shrinkToFit="1"/>
    </xf>
    <xf numFmtId="168" fontId="9" fillId="2" borderId="19" xfId="0" applyNumberFormat="1" applyFont="1" applyFill="1" applyBorder="1" applyAlignment="1">
      <alignment horizontal="left" vertical="top" indent="2" shrinkToFit="1"/>
    </xf>
    <xf numFmtId="168" fontId="9" fillId="2" borderId="44" xfId="0" applyNumberFormat="1" applyFont="1" applyFill="1" applyBorder="1" applyAlignment="1">
      <alignment horizontal="center" vertical="top" shrinkToFit="1"/>
    </xf>
    <xf numFmtId="168" fontId="9" fillId="2" borderId="21" xfId="0" applyNumberFormat="1" applyFont="1" applyFill="1" applyBorder="1" applyAlignment="1">
      <alignment horizontal="left" vertical="top" indent="2" shrinkToFit="1"/>
    </xf>
    <xf numFmtId="168" fontId="9" fillId="5" borderId="2" xfId="0" applyNumberFormat="1" applyFont="1" applyFill="1" applyBorder="1" applyAlignment="1">
      <alignment horizontal="center" vertical="top" shrinkToFit="1"/>
    </xf>
    <xf numFmtId="168" fontId="9" fillId="5" borderId="2" xfId="0" applyNumberFormat="1" applyFont="1" applyFill="1" applyBorder="1" applyAlignment="1">
      <alignment horizontal="left" vertical="top" indent="2" shrinkToFit="1"/>
    </xf>
    <xf numFmtId="168" fontId="9" fillId="5" borderId="1" xfId="0" applyNumberFormat="1" applyFont="1" applyFill="1" applyBorder="1" applyAlignment="1">
      <alignment horizontal="left" vertical="top" indent="2" shrinkToFit="1"/>
    </xf>
    <xf numFmtId="0" fontId="8" fillId="5" borderId="1" xfId="0" applyFont="1" applyFill="1" applyBorder="1" applyAlignment="1">
      <alignment horizontal="left" vertical="top" wrapText="1" indent="1"/>
    </xf>
    <xf numFmtId="0" fontId="10" fillId="2" borderId="1" xfId="0" applyFont="1" applyFill="1" applyBorder="1" applyAlignment="1">
      <alignment horizontal="left" vertical="top" wrapText="1" indent="1"/>
    </xf>
    <xf numFmtId="0" fontId="8" fillId="2" borderId="1" xfId="0" applyFont="1" applyFill="1" applyBorder="1" applyAlignment="1">
      <alignment horizontal="center" vertical="top"/>
    </xf>
    <xf numFmtId="0" fontId="8" fillId="5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top"/>
    </xf>
    <xf numFmtId="0" fontId="8" fillId="2" borderId="46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0" fontId="13" fillId="6" borderId="38" xfId="0" applyFont="1" applyFill="1" applyBorder="1" applyAlignment="1">
      <alignment horizontal="center"/>
    </xf>
    <xf numFmtId="0" fontId="13" fillId="6" borderId="4" xfId="0" applyFont="1" applyFill="1" applyBorder="1" applyAlignment="1">
      <alignment horizontal="center"/>
    </xf>
    <xf numFmtId="0" fontId="13" fillId="6" borderId="9" xfId="0" applyFont="1" applyFill="1" applyBorder="1" applyAlignment="1">
      <alignment horizontal="center"/>
    </xf>
    <xf numFmtId="0" fontId="13" fillId="6" borderId="0" xfId="0" applyFont="1" applyFill="1" applyAlignment="1">
      <alignment horizontal="center"/>
    </xf>
    <xf numFmtId="0" fontId="2" fillId="6" borderId="9" xfId="0" applyFont="1" applyFill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11" fillId="4" borderId="11" xfId="0" applyFont="1" applyFill="1" applyBorder="1" applyAlignment="1">
      <alignment horizontal="center"/>
    </xf>
    <xf numFmtId="0" fontId="11" fillId="4" borderId="29" xfId="0" applyFont="1" applyFill="1" applyBorder="1" applyAlignment="1">
      <alignment horizontal="center"/>
    </xf>
    <xf numFmtId="0" fontId="11" fillId="4" borderId="30" xfId="0" applyFont="1" applyFill="1" applyBorder="1" applyAlignment="1">
      <alignment horizontal="center"/>
    </xf>
    <xf numFmtId="9" fontId="14" fillId="4" borderId="9" xfId="0" applyNumberFormat="1" applyFont="1" applyFill="1" applyBorder="1" applyAlignment="1">
      <alignment horizontal="center" vertical="center"/>
    </xf>
    <xf numFmtId="9" fontId="14" fillId="4" borderId="0" xfId="0" applyNumberFormat="1" applyFont="1" applyFill="1" applyAlignment="1">
      <alignment horizontal="center" vertical="center"/>
    </xf>
    <xf numFmtId="9" fontId="14" fillId="4" borderId="6" xfId="0" applyNumberFormat="1" applyFont="1" applyFill="1" applyBorder="1" applyAlignment="1">
      <alignment horizontal="center" vertical="center"/>
    </xf>
    <xf numFmtId="9" fontId="14" fillId="4" borderId="10" xfId="0" applyNumberFormat="1" applyFont="1" applyFill="1" applyBorder="1" applyAlignment="1">
      <alignment horizontal="center" vertical="center"/>
    </xf>
    <xf numFmtId="9" fontId="14" fillId="4" borderId="7" xfId="0" applyNumberFormat="1" applyFont="1" applyFill="1" applyBorder="1" applyAlignment="1">
      <alignment horizontal="center" vertical="center"/>
    </xf>
    <xf numFmtId="9" fontId="14" fillId="4" borderId="8" xfId="0" applyNumberFormat="1" applyFont="1" applyFill="1" applyBorder="1" applyAlignment="1">
      <alignment horizontal="center" vertical="center"/>
    </xf>
    <xf numFmtId="6" fontId="14" fillId="4" borderId="38" xfId="0" applyNumberFormat="1" applyFont="1" applyFill="1" applyBorder="1" applyAlignment="1">
      <alignment horizontal="center" vertical="center"/>
    </xf>
    <xf numFmtId="6" fontId="14" fillId="4" borderId="4" xfId="0" applyNumberFormat="1" applyFont="1" applyFill="1" applyBorder="1" applyAlignment="1">
      <alignment horizontal="center" vertical="center"/>
    </xf>
    <xf numFmtId="6" fontId="14" fillId="4" borderId="5" xfId="0" applyNumberFormat="1" applyFont="1" applyFill="1" applyBorder="1" applyAlignment="1">
      <alignment horizontal="center" vertical="center"/>
    </xf>
    <xf numFmtId="6" fontId="14" fillId="4" borderId="10" xfId="0" applyNumberFormat="1" applyFont="1" applyFill="1" applyBorder="1" applyAlignment="1">
      <alignment horizontal="center" vertical="center"/>
    </xf>
    <xf numFmtId="6" fontId="14" fillId="4" borderId="7" xfId="0" applyNumberFormat="1" applyFont="1" applyFill="1" applyBorder="1" applyAlignment="1">
      <alignment horizontal="center" vertical="center"/>
    </xf>
    <xf numFmtId="6" fontId="14" fillId="4" borderId="8" xfId="0" applyNumberFormat="1" applyFont="1" applyFill="1" applyBorder="1" applyAlignment="1">
      <alignment horizontal="center" vertical="center"/>
    </xf>
    <xf numFmtId="0" fontId="0" fillId="6" borderId="9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6" fillId="6" borderId="9" xfId="0" applyFont="1" applyFill="1" applyBorder="1" applyAlignment="1">
      <alignment horizontal="center"/>
    </xf>
    <xf numFmtId="0" fontId="6" fillId="6" borderId="0" xfId="0" applyFont="1" applyFill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6" xfId="0" applyFont="1" applyBorder="1" applyAlignment="1">
      <alignment horizontal="center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26 XT5'!A1"/><Relationship Id="rId3" Type="http://schemas.openxmlformats.org/officeDocument/2006/relationships/hyperlink" Target="#'2026 Vistiq'!A1"/><Relationship Id="rId7" Type="http://schemas.openxmlformats.org/officeDocument/2006/relationships/hyperlink" Target="#'26 CT4'!A1"/><Relationship Id="rId2" Type="http://schemas.openxmlformats.org/officeDocument/2006/relationships/hyperlink" Target="#'2026 Escalade IQ'!A1"/><Relationship Id="rId1" Type="http://schemas.openxmlformats.org/officeDocument/2006/relationships/hyperlink" Target="#'2026 Escalade'!A1"/><Relationship Id="rId6" Type="http://schemas.openxmlformats.org/officeDocument/2006/relationships/hyperlink" Target="#'26 CT5'!A1"/><Relationship Id="rId5" Type="http://schemas.openxmlformats.org/officeDocument/2006/relationships/hyperlink" Target="#'26 Lyriq'!A1"/><Relationship Id="rId4" Type="http://schemas.openxmlformats.org/officeDocument/2006/relationships/hyperlink" Target="#'26 Optiq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Home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Home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Home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Home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Home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Home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Home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Hom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13</xdr:row>
      <xdr:rowOff>9525</xdr:rowOff>
    </xdr:from>
    <xdr:to>
      <xdr:col>4</xdr:col>
      <xdr:colOff>600075</xdr:colOff>
      <xdr:row>15</xdr:row>
      <xdr:rowOff>180975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F6D14C-E0C0-410C-A764-103A2A4F6B81}"/>
            </a:ext>
          </a:extLst>
        </xdr:cNvPr>
        <xdr:cNvSpPr/>
      </xdr:nvSpPr>
      <xdr:spPr>
        <a:xfrm>
          <a:off x="619125" y="2171700"/>
          <a:ext cx="2419350" cy="5524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/>
            <a:t>Escalade</a:t>
          </a:r>
          <a:endParaRPr lang="en-US" sz="1100"/>
        </a:p>
      </xdr:txBody>
    </xdr:sp>
    <xdr:clientData/>
  </xdr:twoCellAnchor>
  <xdr:twoCellAnchor>
    <xdr:from>
      <xdr:col>6</xdr:col>
      <xdr:colOff>9525</xdr:colOff>
      <xdr:row>13</xdr:row>
      <xdr:rowOff>9525</xdr:rowOff>
    </xdr:from>
    <xdr:to>
      <xdr:col>9</xdr:col>
      <xdr:colOff>600075</xdr:colOff>
      <xdr:row>15</xdr:row>
      <xdr:rowOff>180975</xdr:rowOff>
    </xdr:to>
    <xdr:sp macro="" textlink="">
      <xdr:nvSpPr>
        <xdr:cNvPr id="3" name="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3B21ED-B7BD-43B5-AF55-B4CEC57D257B}"/>
            </a:ext>
          </a:extLst>
        </xdr:cNvPr>
        <xdr:cNvSpPr/>
      </xdr:nvSpPr>
      <xdr:spPr>
        <a:xfrm>
          <a:off x="3667125" y="2171700"/>
          <a:ext cx="2419350" cy="5524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aseline="0"/>
            <a:t>Escalade IQ</a:t>
          </a:r>
          <a:endParaRPr lang="en-US" sz="1100"/>
        </a:p>
      </xdr:txBody>
    </xdr:sp>
    <xdr:clientData/>
  </xdr:twoCellAnchor>
  <xdr:twoCellAnchor>
    <xdr:from>
      <xdr:col>11</xdr:col>
      <xdr:colOff>9525</xdr:colOff>
      <xdr:row>13</xdr:row>
      <xdr:rowOff>9525</xdr:rowOff>
    </xdr:from>
    <xdr:to>
      <xdr:col>14</xdr:col>
      <xdr:colOff>600075</xdr:colOff>
      <xdr:row>15</xdr:row>
      <xdr:rowOff>180975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C9C63DC-3D3B-4B7B-AE1D-727DBC4147E7}"/>
            </a:ext>
          </a:extLst>
        </xdr:cNvPr>
        <xdr:cNvSpPr/>
      </xdr:nvSpPr>
      <xdr:spPr>
        <a:xfrm>
          <a:off x="6715125" y="2171700"/>
          <a:ext cx="2419350" cy="5524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/>
            <a:t>Vistiq</a:t>
          </a:r>
          <a:endParaRPr lang="en-US" sz="1100"/>
        </a:p>
      </xdr:txBody>
    </xdr:sp>
    <xdr:clientData/>
  </xdr:twoCellAnchor>
  <xdr:twoCellAnchor>
    <xdr:from>
      <xdr:col>1</xdr:col>
      <xdr:colOff>9525</xdr:colOff>
      <xdr:row>18</xdr:row>
      <xdr:rowOff>9525</xdr:rowOff>
    </xdr:from>
    <xdr:to>
      <xdr:col>4</xdr:col>
      <xdr:colOff>600075</xdr:colOff>
      <xdr:row>20</xdr:row>
      <xdr:rowOff>180975</xdr:rowOff>
    </xdr:to>
    <xdr:sp macro="" textlink="">
      <xdr:nvSpPr>
        <xdr:cNvPr id="6" name="Rectangle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C383F80-1B6A-49D7-BD3E-523F3EC88B77}"/>
            </a:ext>
          </a:extLst>
        </xdr:cNvPr>
        <xdr:cNvSpPr/>
      </xdr:nvSpPr>
      <xdr:spPr>
        <a:xfrm>
          <a:off x="619125" y="3562350"/>
          <a:ext cx="2419350" cy="5524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/>
            <a:t>Optiq</a:t>
          </a:r>
        </a:p>
      </xdr:txBody>
    </xdr:sp>
    <xdr:clientData/>
  </xdr:twoCellAnchor>
  <xdr:twoCellAnchor>
    <xdr:from>
      <xdr:col>6</xdr:col>
      <xdr:colOff>9525</xdr:colOff>
      <xdr:row>18</xdr:row>
      <xdr:rowOff>9525</xdr:rowOff>
    </xdr:from>
    <xdr:to>
      <xdr:col>9</xdr:col>
      <xdr:colOff>600075</xdr:colOff>
      <xdr:row>20</xdr:row>
      <xdr:rowOff>180975</xdr:rowOff>
    </xdr:to>
    <xdr:sp macro="" textlink="">
      <xdr:nvSpPr>
        <xdr:cNvPr id="7" name="Rectangle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67AB49A-F84E-4BB8-B08D-ADD471A23AE0}"/>
            </a:ext>
          </a:extLst>
        </xdr:cNvPr>
        <xdr:cNvSpPr/>
      </xdr:nvSpPr>
      <xdr:spPr>
        <a:xfrm>
          <a:off x="3667125" y="2171700"/>
          <a:ext cx="2419350" cy="5524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aseline="0"/>
            <a:t>Lyriq</a:t>
          </a:r>
          <a:endParaRPr lang="en-US" sz="1100"/>
        </a:p>
      </xdr:txBody>
    </xdr:sp>
    <xdr:clientData/>
  </xdr:twoCellAnchor>
  <xdr:twoCellAnchor>
    <xdr:from>
      <xdr:col>11</xdr:col>
      <xdr:colOff>9525</xdr:colOff>
      <xdr:row>18</xdr:row>
      <xdr:rowOff>9525</xdr:rowOff>
    </xdr:from>
    <xdr:to>
      <xdr:col>14</xdr:col>
      <xdr:colOff>600075</xdr:colOff>
      <xdr:row>20</xdr:row>
      <xdr:rowOff>180975</xdr:rowOff>
    </xdr:to>
    <xdr:sp macro="" textlink="">
      <xdr:nvSpPr>
        <xdr:cNvPr id="8" name="Rectangle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246FBA0-5863-4FDA-9ECF-E41A71B3A7E0}"/>
            </a:ext>
          </a:extLst>
        </xdr:cNvPr>
        <xdr:cNvSpPr/>
      </xdr:nvSpPr>
      <xdr:spPr>
        <a:xfrm>
          <a:off x="6715125" y="2171700"/>
          <a:ext cx="2419350" cy="5524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/>
            <a:t>CT5</a:t>
          </a:r>
          <a:endParaRPr lang="en-US" sz="1100"/>
        </a:p>
      </xdr:txBody>
    </xdr:sp>
    <xdr:clientData/>
  </xdr:twoCellAnchor>
  <xdr:twoCellAnchor>
    <xdr:from>
      <xdr:col>3</xdr:col>
      <xdr:colOff>314325</xdr:colOff>
      <xdr:row>22</xdr:row>
      <xdr:rowOff>161925</xdr:rowOff>
    </xdr:from>
    <xdr:to>
      <xdr:col>7</xdr:col>
      <xdr:colOff>295275</xdr:colOff>
      <xdr:row>25</xdr:row>
      <xdr:rowOff>142875</xdr:rowOff>
    </xdr:to>
    <xdr:sp macro="" textlink="">
      <xdr:nvSpPr>
        <xdr:cNvPr id="9" name="Rectangle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9A87588-4B2E-4C40-94BF-DEC0C01904D0}"/>
            </a:ext>
          </a:extLst>
        </xdr:cNvPr>
        <xdr:cNvSpPr/>
      </xdr:nvSpPr>
      <xdr:spPr>
        <a:xfrm>
          <a:off x="2143125" y="4476750"/>
          <a:ext cx="2419350" cy="5524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/>
            <a:t>CT4</a:t>
          </a:r>
          <a:endParaRPr lang="en-US" sz="1100"/>
        </a:p>
      </xdr:txBody>
    </xdr:sp>
    <xdr:clientData/>
  </xdr:twoCellAnchor>
  <xdr:twoCellAnchor>
    <xdr:from>
      <xdr:col>8</xdr:col>
      <xdr:colOff>409575</xdr:colOff>
      <xdr:row>22</xdr:row>
      <xdr:rowOff>180975</xdr:rowOff>
    </xdr:from>
    <xdr:to>
      <xdr:col>12</xdr:col>
      <xdr:colOff>390525</xdr:colOff>
      <xdr:row>25</xdr:row>
      <xdr:rowOff>161925</xdr:rowOff>
    </xdr:to>
    <xdr:sp macro="" textlink="">
      <xdr:nvSpPr>
        <xdr:cNvPr id="10" name="Rectangle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E42285EB-0985-4222-A8DF-665E40005B8F}"/>
            </a:ext>
          </a:extLst>
        </xdr:cNvPr>
        <xdr:cNvSpPr/>
      </xdr:nvSpPr>
      <xdr:spPr>
        <a:xfrm>
          <a:off x="5286375" y="4495800"/>
          <a:ext cx="2419350" cy="5524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/>
            <a:t>XT5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127000</xdr:colOff>
      <xdr:row>0</xdr:row>
      <xdr:rowOff>137583</xdr:rowOff>
    </xdr:from>
    <xdr:to>
      <xdr:col>10</xdr:col>
      <xdr:colOff>1020234</xdr:colOff>
      <xdr:row>3</xdr:row>
      <xdr:rowOff>455083</xdr:rowOff>
    </xdr:to>
    <xdr:pic>
      <xdr:nvPicPr>
        <xdr:cNvPr id="3" name="Picture 2" descr="Address, blue, casa, circle, home, house, local icon - Download on  Iconfinder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627945-AD93-46C3-8213-18100406B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65417" y="137583"/>
          <a:ext cx="1380067" cy="1206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180975</xdr:colOff>
      <xdr:row>0</xdr:row>
      <xdr:rowOff>38100</xdr:rowOff>
    </xdr:from>
    <xdr:to>
      <xdr:col>10</xdr:col>
      <xdr:colOff>952500</xdr:colOff>
      <xdr:row>3</xdr:row>
      <xdr:rowOff>333375</xdr:rowOff>
    </xdr:to>
    <xdr:pic>
      <xdr:nvPicPr>
        <xdr:cNvPr id="3" name="Picture 2" descr="Address, blue, casa, circle, home, house, local icon - Download on  Iconfinder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B316E6-556B-4178-A5A4-22A03D4D0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72850" y="38100"/>
          <a:ext cx="1381125" cy="114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104775</xdr:colOff>
      <xdr:row>0</xdr:row>
      <xdr:rowOff>85725</xdr:rowOff>
    </xdr:from>
    <xdr:to>
      <xdr:col>10</xdr:col>
      <xdr:colOff>847725</xdr:colOff>
      <xdr:row>3</xdr:row>
      <xdr:rowOff>571500</xdr:rowOff>
    </xdr:to>
    <xdr:pic>
      <xdr:nvPicPr>
        <xdr:cNvPr id="3" name="Picture 2" descr="Address, blue, casa, circle, home, house, local icon - Download on  Iconfinder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EE7E6A-466F-44C0-9815-68B16FD8D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85725"/>
          <a:ext cx="1381125" cy="114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85725</xdr:colOff>
      <xdr:row>0</xdr:row>
      <xdr:rowOff>57150</xdr:rowOff>
    </xdr:from>
    <xdr:to>
      <xdr:col>10</xdr:col>
      <xdr:colOff>857250</xdr:colOff>
      <xdr:row>3</xdr:row>
      <xdr:rowOff>438150</xdr:rowOff>
    </xdr:to>
    <xdr:pic>
      <xdr:nvPicPr>
        <xdr:cNvPr id="3" name="Picture 2" descr="Address, blue, casa, circle, home, house, local icon - Download on  Iconfinder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32D924-B100-4893-BE5B-F2774DD58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2550" y="57150"/>
          <a:ext cx="1381125" cy="114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28575</xdr:colOff>
      <xdr:row>0</xdr:row>
      <xdr:rowOff>38100</xdr:rowOff>
    </xdr:from>
    <xdr:to>
      <xdr:col>10</xdr:col>
      <xdr:colOff>800100</xdr:colOff>
      <xdr:row>3</xdr:row>
      <xdr:rowOff>419100</xdr:rowOff>
    </xdr:to>
    <xdr:pic>
      <xdr:nvPicPr>
        <xdr:cNvPr id="3" name="Picture 2" descr="Address, blue, casa, circle, home, house, local icon - Download on  Iconfinder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D6C4A8F-29F7-45E3-8542-30C707B0D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38100"/>
          <a:ext cx="1381125" cy="114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66675</xdr:colOff>
      <xdr:row>0</xdr:row>
      <xdr:rowOff>76200</xdr:rowOff>
    </xdr:from>
    <xdr:to>
      <xdr:col>10</xdr:col>
      <xdr:colOff>781050</xdr:colOff>
      <xdr:row>3</xdr:row>
      <xdr:rowOff>561975</xdr:rowOff>
    </xdr:to>
    <xdr:pic>
      <xdr:nvPicPr>
        <xdr:cNvPr id="3" name="Picture 2" descr="Address, blue, casa, circle, home, house, local icon - Download on  Iconfinder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6BF7849-58D6-482C-BEB4-DF62AD60A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4975" y="76200"/>
          <a:ext cx="1381125" cy="114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49696</xdr:colOff>
      <xdr:row>0</xdr:row>
      <xdr:rowOff>66261</xdr:rowOff>
    </xdr:from>
    <xdr:to>
      <xdr:col>10</xdr:col>
      <xdr:colOff>839856</xdr:colOff>
      <xdr:row>3</xdr:row>
      <xdr:rowOff>554935</xdr:rowOff>
    </xdr:to>
    <xdr:pic>
      <xdr:nvPicPr>
        <xdr:cNvPr id="3" name="Picture 2" descr="Address, blue, casa, circle, home, house, local icon - Download on  Iconfinder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038B68-75B1-49E3-833A-E59AE7A9C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6913" y="66261"/>
          <a:ext cx="1378226" cy="114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104775</xdr:colOff>
      <xdr:row>0</xdr:row>
      <xdr:rowOff>19050</xdr:rowOff>
    </xdr:from>
    <xdr:to>
      <xdr:col>10</xdr:col>
      <xdr:colOff>876300</xdr:colOff>
      <xdr:row>3</xdr:row>
      <xdr:rowOff>457200</xdr:rowOff>
    </xdr:to>
    <xdr:pic>
      <xdr:nvPicPr>
        <xdr:cNvPr id="3" name="Picture 2" descr="Address, blue, casa, circle, home, house, local icon - Download on  Iconfinder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C3D95C0-A234-4CF4-BD41-6C858CA6C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2775" y="19050"/>
          <a:ext cx="1381125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02339-C2DF-42D4-855D-1FD924CDB1E6}">
  <sheetPr codeName="Sheet27">
    <tabColor rgb="FF00B050"/>
  </sheetPr>
  <dimension ref="A1:S116"/>
  <sheetViews>
    <sheetView tabSelected="1" workbookViewId="0">
      <selection sqref="A1:O3"/>
    </sheetView>
  </sheetViews>
  <sheetFormatPr defaultRowHeight="15" x14ac:dyDescent="0.25"/>
  <sheetData>
    <row r="1" spans="1:19" x14ac:dyDescent="0.25">
      <c r="A1" s="226" t="s">
        <v>106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180"/>
      <c r="Q1" s="99"/>
      <c r="R1" s="99"/>
      <c r="S1" s="99"/>
    </row>
    <row r="2" spans="1:19" x14ac:dyDescent="0.25">
      <c r="A2" s="228"/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181"/>
      <c r="Q2" s="99"/>
      <c r="R2" s="99"/>
      <c r="S2" s="99"/>
    </row>
    <row r="3" spans="1:19" x14ac:dyDescent="0.25">
      <c r="A3" s="228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181"/>
      <c r="Q3" s="99"/>
      <c r="R3" s="99"/>
      <c r="S3" s="99"/>
    </row>
    <row r="4" spans="1:19" x14ac:dyDescent="0.25">
      <c r="A4" s="247" t="s">
        <v>107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181"/>
      <c r="Q4" s="99"/>
      <c r="R4" s="99"/>
      <c r="S4" s="99"/>
    </row>
    <row r="5" spans="1:19" ht="18.75" x14ac:dyDescent="0.3">
      <c r="A5" s="249" t="s">
        <v>104</v>
      </c>
      <c r="B5" s="250"/>
      <c r="C5" s="250"/>
      <c r="D5" s="250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181"/>
      <c r="Q5" s="99"/>
      <c r="R5" s="99"/>
      <c r="S5" s="99"/>
    </row>
    <row r="6" spans="1:19" x14ac:dyDescent="0.25">
      <c r="A6" s="247"/>
      <c r="B6" s="248"/>
      <c r="C6" s="248"/>
      <c r="D6" s="248"/>
      <c r="E6" s="248"/>
      <c r="F6" s="248"/>
      <c r="G6" s="248"/>
      <c r="H6" s="248"/>
      <c r="I6" s="248"/>
      <c r="J6" s="248"/>
      <c r="K6" s="248"/>
      <c r="L6" s="248"/>
      <c r="M6" s="248"/>
      <c r="N6" s="248"/>
      <c r="O6" s="248"/>
      <c r="P6" s="181"/>
      <c r="Q6" s="99"/>
      <c r="R6" s="99"/>
      <c r="S6" s="99"/>
    </row>
    <row r="7" spans="1:19" x14ac:dyDescent="0.25">
      <c r="A7" s="230" t="s">
        <v>105</v>
      </c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181"/>
      <c r="Q7" s="99"/>
      <c r="R7" s="99"/>
      <c r="S7" s="99"/>
    </row>
    <row r="8" spans="1:19" ht="15.75" thickBot="1" x14ac:dyDescent="0.3">
      <c r="A8" s="182"/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181"/>
      <c r="Q8" s="99"/>
      <c r="R8" s="99"/>
      <c r="S8" s="99"/>
    </row>
    <row r="9" spans="1:19" ht="19.5" thickBot="1" x14ac:dyDescent="0.35">
      <c r="A9" s="182"/>
      <c r="B9" s="232" t="s">
        <v>27</v>
      </c>
      <c r="C9" s="233"/>
      <c r="D9" s="233"/>
      <c r="E9" s="234"/>
      <c r="F9" s="99"/>
      <c r="G9" s="99"/>
      <c r="H9" s="99"/>
      <c r="I9" s="232" t="s">
        <v>28</v>
      </c>
      <c r="J9" s="233"/>
      <c r="K9" s="233"/>
      <c r="L9" s="234"/>
      <c r="M9" s="99"/>
      <c r="N9" s="99"/>
      <c r="O9" s="99"/>
      <c r="P9" s="181"/>
      <c r="Q9" s="99"/>
      <c r="R9" s="99"/>
      <c r="S9" s="99"/>
    </row>
    <row r="10" spans="1:19" ht="15" customHeight="1" x14ac:dyDescent="0.25">
      <c r="A10" s="182"/>
      <c r="B10" s="241">
        <v>175</v>
      </c>
      <c r="C10" s="242"/>
      <c r="D10" s="242"/>
      <c r="E10" s="243"/>
      <c r="F10" s="99"/>
      <c r="G10" s="99"/>
      <c r="I10" s="235">
        <v>0.75</v>
      </c>
      <c r="J10" s="236"/>
      <c r="K10" s="236"/>
      <c r="L10" s="237"/>
      <c r="M10" s="99"/>
      <c r="N10" s="99"/>
      <c r="O10" s="99"/>
      <c r="P10" s="181"/>
      <c r="Q10" s="99"/>
      <c r="R10" s="99"/>
      <c r="S10" s="99"/>
    </row>
    <row r="11" spans="1:19" ht="15.75" customHeight="1" thickBot="1" x14ac:dyDescent="0.3">
      <c r="A11" s="182"/>
      <c r="B11" s="244"/>
      <c r="C11" s="245"/>
      <c r="D11" s="245"/>
      <c r="E11" s="246"/>
      <c r="F11" s="99"/>
      <c r="G11" s="99"/>
      <c r="H11" s="99"/>
      <c r="I11" s="238"/>
      <c r="J11" s="239"/>
      <c r="K11" s="239"/>
      <c r="L11" s="240"/>
      <c r="M11" s="99"/>
      <c r="N11" s="99"/>
      <c r="O11" s="99"/>
      <c r="P11" s="181"/>
      <c r="Q11" s="99"/>
      <c r="R11" s="99"/>
      <c r="S11" s="99"/>
    </row>
    <row r="12" spans="1:19" x14ac:dyDescent="0.25">
      <c r="A12" s="182"/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181"/>
      <c r="Q12" s="99"/>
      <c r="R12" s="99"/>
      <c r="S12" s="99"/>
    </row>
    <row r="13" spans="1:19" x14ac:dyDescent="0.25">
      <c r="A13" s="182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181"/>
      <c r="Q13" s="99"/>
      <c r="R13" s="99"/>
      <c r="S13" s="99"/>
    </row>
    <row r="14" spans="1:19" x14ac:dyDescent="0.25">
      <c r="A14" s="182"/>
      <c r="B14" s="99"/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181"/>
      <c r="Q14" s="99"/>
      <c r="R14" s="99"/>
      <c r="S14" s="99"/>
    </row>
    <row r="15" spans="1:19" x14ac:dyDescent="0.25">
      <c r="A15" s="182"/>
      <c r="B15" s="99"/>
      <c r="C15" s="99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181"/>
      <c r="Q15" s="99"/>
      <c r="R15" s="99"/>
      <c r="S15" s="99"/>
    </row>
    <row r="16" spans="1:19" x14ac:dyDescent="0.25">
      <c r="A16" s="182"/>
      <c r="B16" s="99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181"/>
      <c r="Q16" s="99"/>
      <c r="R16" s="99"/>
      <c r="S16" s="99"/>
    </row>
    <row r="17" spans="1:19" x14ac:dyDescent="0.25">
      <c r="A17" s="182"/>
      <c r="B17" s="99"/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181"/>
      <c r="Q17" s="99"/>
      <c r="R17" s="99"/>
      <c r="S17" s="99"/>
    </row>
    <row r="18" spans="1:19" x14ac:dyDescent="0.25">
      <c r="A18" s="182"/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181"/>
      <c r="Q18" s="99"/>
      <c r="R18" s="99"/>
      <c r="S18" s="99"/>
    </row>
    <row r="19" spans="1:19" x14ac:dyDescent="0.25">
      <c r="A19" s="182"/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181"/>
      <c r="Q19" s="99"/>
      <c r="R19" s="99"/>
      <c r="S19" s="99"/>
    </row>
    <row r="20" spans="1:19" x14ac:dyDescent="0.25">
      <c r="A20" s="182"/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181"/>
      <c r="Q20" s="99"/>
      <c r="R20" s="99"/>
      <c r="S20" s="99"/>
    </row>
    <row r="21" spans="1:19" x14ac:dyDescent="0.25">
      <c r="A21" s="182"/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181"/>
      <c r="Q21" s="99"/>
      <c r="R21" s="99"/>
      <c r="S21" s="99"/>
    </row>
    <row r="22" spans="1:19" x14ac:dyDescent="0.25">
      <c r="A22" s="182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181"/>
      <c r="Q22" s="99"/>
      <c r="R22" s="99"/>
      <c r="S22" s="99"/>
    </row>
    <row r="23" spans="1:19" x14ac:dyDescent="0.25">
      <c r="A23" s="182"/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181"/>
      <c r="Q23" s="99"/>
      <c r="R23" s="99"/>
      <c r="S23" s="99"/>
    </row>
    <row r="24" spans="1:19" x14ac:dyDescent="0.25">
      <c r="A24" s="182"/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181"/>
      <c r="Q24" s="99"/>
      <c r="R24" s="99"/>
      <c r="S24" s="99"/>
    </row>
    <row r="25" spans="1:19" x14ac:dyDescent="0.25">
      <c r="A25" s="182"/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181"/>
      <c r="Q25" s="99"/>
      <c r="R25" s="99"/>
      <c r="S25" s="99"/>
    </row>
    <row r="26" spans="1:19" x14ac:dyDescent="0.25">
      <c r="A26" s="182"/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181"/>
      <c r="Q26" s="99"/>
      <c r="R26" s="99"/>
      <c r="S26" s="99"/>
    </row>
    <row r="27" spans="1:19" x14ac:dyDescent="0.25">
      <c r="A27" s="182"/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181"/>
      <c r="Q27" s="99"/>
      <c r="R27" s="99"/>
      <c r="S27" s="99"/>
    </row>
    <row r="28" spans="1:19" x14ac:dyDescent="0.25">
      <c r="A28" s="182"/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181"/>
      <c r="Q28" s="99"/>
      <c r="R28" s="99"/>
      <c r="S28" s="99"/>
    </row>
    <row r="29" spans="1:19" x14ac:dyDescent="0.25">
      <c r="A29" s="182"/>
      <c r="B29" s="99"/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181"/>
      <c r="Q29" s="99"/>
      <c r="R29" s="99"/>
      <c r="S29" s="99"/>
    </row>
    <row r="30" spans="1:19" x14ac:dyDescent="0.25">
      <c r="A30" s="182"/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181"/>
      <c r="Q30" s="99"/>
      <c r="R30" s="99"/>
      <c r="S30" s="99"/>
    </row>
    <row r="31" spans="1:19" x14ac:dyDescent="0.25">
      <c r="A31" s="182"/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181"/>
      <c r="Q31" s="99"/>
      <c r="R31" s="99"/>
      <c r="S31" s="99"/>
    </row>
    <row r="32" spans="1:19" x14ac:dyDescent="0.25">
      <c r="A32" s="182"/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181"/>
      <c r="Q32" s="99"/>
      <c r="R32" s="99"/>
      <c r="S32" s="99"/>
    </row>
    <row r="33" spans="1:19" x14ac:dyDescent="0.25">
      <c r="A33" s="182"/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181"/>
      <c r="Q33" s="99"/>
      <c r="R33" s="99"/>
      <c r="S33" s="99"/>
    </row>
    <row r="34" spans="1:19" x14ac:dyDescent="0.25">
      <c r="A34" s="182"/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181"/>
      <c r="Q34" s="99"/>
      <c r="R34" s="99"/>
      <c r="S34" s="99"/>
    </row>
    <row r="35" spans="1:19" x14ac:dyDescent="0.25">
      <c r="A35" s="182"/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181"/>
      <c r="Q35" s="99"/>
      <c r="R35" s="99"/>
      <c r="S35" s="99"/>
    </row>
    <row r="36" spans="1:19" x14ac:dyDescent="0.25">
      <c r="A36" s="182"/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181"/>
      <c r="Q36" s="99"/>
      <c r="R36" s="99"/>
      <c r="S36" s="99"/>
    </row>
    <row r="37" spans="1:19" x14ac:dyDescent="0.25">
      <c r="A37" s="182"/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181"/>
      <c r="Q37" s="99"/>
      <c r="R37" s="99"/>
      <c r="S37" s="99"/>
    </row>
    <row r="38" spans="1:19" ht="15.75" thickBot="1" x14ac:dyDescent="0.3">
      <c r="A38" s="183"/>
      <c r="B38" s="184"/>
      <c r="C38" s="184"/>
      <c r="D38" s="184"/>
      <c r="E38" s="184"/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5"/>
      <c r="Q38" s="99"/>
      <c r="R38" s="99"/>
      <c r="S38" s="99"/>
    </row>
    <row r="39" spans="1:19" x14ac:dyDescent="0.25">
      <c r="A39" s="99"/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</row>
    <row r="40" spans="1:19" x14ac:dyDescent="0.25">
      <c r="A40" s="99"/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</row>
    <row r="41" spans="1:19" x14ac:dyDescent="0.25">
      <c r="A41" s="99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</row>
    <row r="42" spans="1:19" x14ac:dyDescent="0.25">
      <c r="A42" s="99"/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</row>
    <row r="43" spans="1:19" x14ac:dyDescent="0.25">
      <c r="A43" s="99"/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</row>
    <row r="44" spans="1:19" x14ac:dyDescent="0.25">
      <c r="A44" s="99"/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</row>
    <row r="45" spans="1:19" x14ac:dyDescent="0.25">
      <c r="A45" s="99"/>
      <c r="B45" s="99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 t="s">
        <v>210</v>
      </c>
    </row>
    <row r="46" spans="1:19" x14ac:dyDescent="0.25">
      <c r="A46" s="99"/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</row>
    <row r="47" spans="1:19" x14ac:dyDescent="0.25">
      <c r="A47" s="99"/>
      <c r="B47" s="99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</row>
    <row r="48" spans="1:19" x14ac:dyDescent="0.25">
      <c r="A48" s="99"/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</row>
    <row r="49" spans="1:19" x14ac:dyDescent="0.25">
      <c r="A49" s="99"/>
      <c r="B49" s="99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</row>
    <row r="50" spans="1:19" x14ac:dyDescent="0.25">
      <c r="A50" s="99"/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</row>
    <row r="51" spans="1:19" x14ac:dyDescent="0.25">
      <c r="A51" s="99"/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</row>
    <row r="52" spans="1:19" x14ac:dyDescent="0.25">
      <c r="A52" s="99"/>
      <c r="B52" s="99"/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</row>
    <row r="53" spans="1:19" x14ac:dyDescent="0.25">
      <c r="A53" s="99"/>
      <c r="B53" s="99"/>
      <c r="C53" s="99"/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</row>
    <row r="54" spans="1:19" x14ac:dyDescent="0.25">
      <c r="A54" s="99"/>
      <c r="B54" s="99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</row>
    <row r="55" spans="1:19" x14ac:dyDescent="0.25">
      <c r="A55" s="99"/>
      <c r="B55" s="99"/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</row>
    <row r="56" spans="1:19" x14ac:dyDescent="0.25">
      <c r="A56" s="99"/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</row>
    <row r="57" spans="1:19" x14ac:dyDescent="0.25">
      <c r="A57" s="99"/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</row>
    <row r="58" spans="1:19" x14ac:dyDescent="0.25">
      <c r="A58" s="99"/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</row>
    <row r="59" spans="1:19" x14ac:dyDescent="0.25">
      <c r="A59" s="99"/>
      <c r="B59" s="99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</row>
    <row r="60" spans="1:19" x14ac:dyDescent="0.25">
      <c r="A60" s="99"/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</row>
    <row r="61" spans="1:19" x14ac:dyDescent="0.25">
      <c r="A61" s="99"/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</row>
    <row r="62" spans="1:19" x14ac:dyDescent="0.25">
      <c r="A62" s="99"/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</row>
    <row r="63" spans="1:19" x14ac:dyDescent="0.25">
      <c r="A63" s="99"/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</row>
    <row r="64" spans="1:19" x14ac:dyDescent="0.25">
      <c r="A64" s="99"/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</row>
    <row r="65" spans="1:19" x14ac:dyDescent="0.25">
      <c r="A65" s="99"/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</row>
    <row r="66" spans="1:19" x14ac:dyDescent="0.25">
      <c r="A66" s="99"/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</row>
    <row r="67" spans="1:19" x14ac:dyDescent="0.25">
      <c r="A67" s="99"/>
      <c r="B67" s="99"/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</row>
    <row r="68" spans="1:19" x14ac:dyDescent="0.25">
      <c r="A68" s="99"/>
      <c r="B68" s="99"/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</row>
    <row r="69" spans="1:19" x14ac:dyDescent="0.25">
      <c r="A69" s="99"/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</row>
    <row r="70" spans="1:19" x14ac:dyDescent="0.25">
      <c r="A70" s="99"/>
      <c r="B70" s="99"/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</row>
    <row r="71" spans="1:19" x14ac:dyDescent="0.25">
      <c r="A71" s="99"/>
      <c r="B71" s="99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</row>
    <row r="72" spans="1:19" x14ac:dyDescent="0.25">
      <c r="A72" s="99"/>
      <c r="B72" s="99"/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</row>
    <row r="73" spans="1:19" x14ac:dyDescent="0.25">
      <c r="A73" s="99"/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</row>
    <row r="74" spans="1:19" x14ac:dyDescent="0.25">
      <c r="A74" s="99"/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</row>
    <row r="75" spans="1:19" x14ac:dyDescent="0.25">
      <c r="A75" s="99"/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</row>
    <row r="76" spans="1:19" x14ac:dyDescent="0.25">
      <c r="A76" s="99"/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</row>
    <row r="77" spans="1:19" x14ac:dyDescent="0.25">
      <c r="A77" s="99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</row>
    <row r="78" spans="1:19" x14ac:dyDescent="0.25">
      <c r="A78" s="99"/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</row>
    <row r="79" spans="1:19" x14ac:dyDescent="0.25">
      <c r="A79" s="99"/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</row>
    <row r="80" spans="1:19" x14ac:dyDescent="0.25">
      <c r="A80" s="99"/>
      <c r="B80" s="99"/>
      <c r="C80" s="99"/>
      <c r="D80" s="99"/>
      <c r="E80" s="99"/>
      <c r="F80" s="99"/>
      <c r="G80" s="99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99"/>
    </row>
    <row r="81" spans="1:19" x14ac:dyDescent="0.25">
      <c r="A81" s="99"/>
      <c r="B81" s="99"/>
      <c r="C81" s="99"/>
      <c r="D81" s="99"/>
      <c r="E81" s="99"/>
      <c r="F81" s="99"/>
      <c r="G81" s="99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</row>
    <row r="82" spans="1:19" x14ac:dyDescent="0.25">
      <c r="A82" s="99"/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</row>
    <row r="83" spans="1:19" x14ac:dyDescent="0.25">
      <c r="A83" s="99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</row>
    <row r="84" spans="1:19" x14ac:dyDescent="0.25">
      <c r="A84" s="99"/>
      <c r="B84" s="99"/>
      <c r="C84" s="99"/>
      <c r="D84" s="99"/>
      <c r="E84" s="99"/>
      <c r="F84" s="99"/>
      <c r="G84" s="99"/>
      <c r="H84" s="99"/>
      <c r="I84" s="99"/>
      <c r="J84" s="99"/>
      <c r="K84" s="99"/>
      <c r="L84" s="99"/>
      <c r="M84" s="99"/>
      <c r="N84" s="99"/>
      <c r="O84" s="99"/>
      <c r="P84" s="99"/>
      <c r="Q84" s="99"/>
      <c r="R84" s="99"/>
      <c r="S84" s="99"/>
    </row>
    <row r="85" spans="1:19" x14ac:dyDescent="0.25">
      <c r="A85" s="99"/>
      <c r="B85" s="99"/>
      <c r="C85" s="99"/>
      <c r="D85" s="99"/>
      <c r="E85" s="99"/>
      <c r="F85" s="99"/>
      <c r="G85" s="99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</row>
    <row r="86" spans="1:19" x14ac:dyDescent="0.25">
      <c r="A86" s="99"/>
      <c r="B86" s="99"/>
      <c r="C86" s="99"/>
      <c r="D86" s="99"/>
      <c r="E86" s="99"/>
      <c r="F86" s="99"/>
      <c r="G86" s="99"/>
      <c r="H86" s="99"/>
      <c r="I86" s="99"/>
      <c r="J86" s="99"/>
      <c r="K86" s="99"/>
      <c r="L86" s="99"/>
      <c r="M86" s="99"/>
      <c r="N86" s="99"/>
      <c r="O86" s="99"/>
      <c r="P86" s="99"/>
      <c r="Q86" s="99"/>
      <c r="R86" s="99"/>
      <c r="S86" s="99"/>
    </row>
    <row r="87" spans="1:19" x14ac:dyDescent="0.25">
      <c r="A87" s="99"/>
      <c r="B87" s="99"/>
      <c r="C87" s="99"/>
      <c r="D87" s="99"/>
      <c r="E87" s="99"/>
      <c r="F87" s="99"/>
      <c r="G87" s="99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</row>
    <row r="88" spans="1:19" x14ac:dyDescent="0.25">
      <c r="A88" s="99"/>
      <c r="B88" s="99"/>
      <c r="C88" s="99"/>
      <c r="D88" s="99"/>
      <c r="E88" s="99"/>
      <c r="F88" s="99"/>
      <c r="G88" s="99"/>
      <c r="H88" s="99"/>
      <c r="I88" s="99"/>
      <c r="J88" s="99"/>
      <c r="K88" s="99"/>
      <c r="L88" s="99"/>
      <c r="M88" s="99"/>
      <c r="N88" s="99"/>
      <c r="O88" s="99"/>
      <c r="P88" s="99"/>
      <c r="Q88" s="99"/>
      <c r="R88" s="99"/>
      <c r="S88" s="99"/>
    </row>
    <row r="89" spans="1:19" x14ac:dyDescent="0.25">
      <c r="A89" s="99"/>
      <c r="B89" s="99"/>
      <c r="C89" s="99"/>
      <c r="D89" s="99"/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</row>
    <row r="90" spans="1:19" x14ac:dyDescent="0.25">
      <c r="A90" s="99"/>
      <c r="B90" s="99"/>
      <c r="C90" s="99"/>
      <c r="D90" s="99"/>
      <c r="E90" s="99"/>
      <c r="F90" s="99"/>
      <c r="G90" s="99"/>
      <c r="H90" s="99"/>
      <c r="I90" s="99"/>
      <c r="J90" s="99"/>
      <c r="K90" s="99"/>
      <c r="L90" s="99"/>
      <c r="M90" s="99"/>
      <c r="N90" s="99"/>
      <c r="O90" s="99"/>
      <c r="P90" s="99"/>
      <c r="Q90" s="99"/>
      <c r="R90" s="99"/>
      <c r="S90" s="99"/>
    </row>
    <row r="91" spans="1:19" x14ac:dyDescent="0.25">
      <c r="A91" s="99"/>
      <c r="B91" s="99"/>
      <c r="C91" s="99"/>
      <c r="D91" s="99"/>
      <c r="E91" s="99"/>
      <c r="F91" s="99"/>
      <c r="G91" s="99"/>
      <c r="H91" s="99"/>
      <c r="I91" s="99"/>
      <c r="J91" s="99"/>
      <c r="K91" s="99"/>
      <c r="L91" s="99"/>
      <c r="M91" s="99"/>
      <c r="N91" s="99"/>
      <c r="O91" s="99"/>
      <c r="P91" s="99"/>
      <c r="Q91" s="99"/>
      <c r="R91" s="99"/>
      <c r="S91" s="99"/>
    </row>
    <row r="92" spans="1:19" x14ac:dyDescent="0.25">
      <c r="A92" s="99"/>
      <c r="B92" s="99"/>
      <c r="C92" s="99"/>
      <c r="D92" s="99"/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99"/>
      <c r="P92" s="99"/>
      <c r="Q92" s="99"/>
      <c r="R92" s="99"/>
      <c r="S92" s="99"/>
    </row>
    <row r="93" spans="1:19" x14ac:dyDescent="0.25">
      <c r="A93" s="99"/>
      <c r="B93" s="99"/>
      <c r="C93" s="99"/>
      <c r="D93" s="99"/>
      <c r="E93" s="99"/>
      <c r="F93" s="99"/>
      <c r="G93" s="99"/>
      <c r="H93" s="99"/>
      <c r="I93" s="99"/>
      <c r="J93" s="99"/>
      <c r="K93" s="99"/>
      <c r="L93" s="99"/>
      <c r="M93" s="99"/>
      <c r="N93" s="99"/>
      <c r="O93" s="99"/>
      <c r="P93" s="99"/>
      <c r="Q93" s="99"/>
      <c r="R93" s="99"/>
      <c r="S93" s="99"/>
    </row>
    <row r="94" spans="1:19" x14ac:dyDescent="0.25">
      <c r="A94" s="99"/>
      <c r="B94" s="99"/>
      <c r="C94" s="99"/>
      <c r="D94" s="99"/>
      <c r="E94" s="99"/>
      <c r="F94" s="99"/>
      <c r="G94" s="99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</row>
    <row r="95" spans="1:19" x14ac:dyDescent="0.25">
      <c r="A95" s="99"/>
      <c r="B95" s="99"/>
      <c r="C95" s="99"/>
      <c r="D95" s="99"/>
      <c r="E95" s="99"/>
      <c r="F95" s="99"/>
      <c r="G95" s="99"/>
      <c r="H95" s="99"/>
      <c r="I95" s="99"/>
      <c r="J95" s="99"/>
      <c r="K95" s="99"/>
      <c r="L95" s="99"/>
      <c r="M95" s="99"/>
      <c r="N95" s="99"/>
      <c r="O95" s="99"/>
      <c r="P95" s="99"/>
      <c r="Q95" s="99"/>
      <c r="R95" s="99"/>
      <c r="S95" s="99"/>
    </row>
    <row r="96" spans="1:19" x14ac:dyDescent="0.25">
      <c r="A96" s="99"/>
      <c r="B96" s="99"/>
      <c r="C96" s="99"/>
      <c r="D96" s="99"/>
      <c r="E96" s="99"/>
      <c r="F96" s="99"/>
      <c r="G96" s="99"/>
      <c r="H96" s="99"/>
      <c r="I96" s="99"/>
      <c r="J96" s="99"/>
      <c r="K96" s="99"/>
      <c r="L96" s="99"/>
      <c r="M96" s="99"/>
      <c r="N96" s="99"/>
      <c r="O96" s="99"/>
      <c r="P96" s="99"/>
      <c r="Q96" s="99"/>
      <c r="R96" s="99"/>
      <c r="S96" s="99"/>
    </row>
    <row r="97" spans="1:19" x14ac:dyDescent="0.25">
      <c r="A97" s="99"/>
      <c r="B97" s="99"/>
      <c r="C97" s="99"/>
      <c r="D97" s="99"/>
      <c r="E97" s="99"/>
      <c r="F97" s="99"/>
      <c r="G97" s="99"/>
      <c r="H97" s="99"/>
      <c r="I97" s="99"/>
      <c r="J97" s="99"/>
      <c r="K97" s="99"/>
      <c r="L97" s="99"/>
      <c r="M97" s="99"/>
      <c r="N97" s="99"/>
      <c r="O97" s="99"/>
      <c r="P97" s="99"/>
      <c r="Q97" s="99"/>
      <c r="R97" s="99"/>
      <c r="S97" s="99"/>
    </row>
    <row r="98" spans="1:19" x14ac:dyDescent="0.25">
      <c r="A98" s="99"/>
      <c r="B98" s="99"/>
      <c r="C98" s="99"/>
      <c r="D98" s="99"/>
      <c r="E98" s="99"/>
      <c r="F98" s="99"/>
      <c r="G98" s="99"/>
      <c r="H98" s="99"/>
      <c r="I98" s="99"/>
      <c r="J98" s="99"/>
      <c r="K98" s="99"/>
      <c r="L98" s="99"/>
      <c r="M98" s="99"/>
      <c r="N98" s="99"/>
      <c r="O98" s="99"/>
      <c r="P98" s="99"/>
      <c r="Q98" s="99"/>
      <c r="R98" s="99"/>
      <c r="S98" s="99"/>
    </row>
    <row r="99" spans="1:19" x14ac:dyDescent="0.25">
      <c r="A99" s="99"/>
      <c r="B99" s="99"/>
      <c r="C99" s="99"/>
      <c r="D99" s="99"/>
      <c r="E99" s="99"/>
      <c r="F99" s="99"/>
      <c r="G99" s="99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</row>
    <row r="100" spans="1:19" x14ac:dyDescent="0.25">
      <c r="A100" s="99"/>
      <c r="B100" s="99"/>
      <c r="C100" s="99"/>
      <c r="D100" s="99"/>
      <c r="E100" s="99"/>
      <c r="F100" s="99"/>
      <c r="G100" s="99"/>
      <c r="H100" s="99"/>
      <c r="I100" s="99"/>
      <c r="J100" s="99"/>
      <c r="K100" s="99"/>
      <c r="L100" s="99"/>
      <c r="M100" s="99"/>
      <c r="N100" s="99"/>
      <c r="O100" s="99"/>
      <c r="P100" s="99"/>
      <c r="Q100" s="99"/>
      <c r="R100" s="99"/>
      <c r="S100" s="99"/>
    </row>
    <row r="101" spans="1:19" x14ac:dyDescent="0.25">
      <c r="A101" s="99"/>
      <c r="B101" s="99"/>
      <c r="C101" s="99"/>
      <c r="D101" s="99"/>
      <c r="E101" s="99"/>
      <c r="F101" s="99"/>
      <c r="G101" s="99"/>
      <c r="H101" s="99"/>
      <c r="I101" s="99"/>
      <c r="J101" s="99"/>
      <c r="K101" s="99"/>
      <c r="L101" s="99"/>
      <c r="M101" s="99"/>
      <c r="N101" s="99"/>
      <c r="O101" s="99"/>
      <c r="P101" s="99"/>
      <c r="Q101" s="99"/>
      <c r="R101" s="99"/>
      <c r="S101" s="99"/>
    </row>
    <row r="102" spans="1:19" x14ac:dyDescent="0.25">
      <c r="A102" s="99"/>
      <c r="B102" s="99"/>
      <c r="C102" s="99"/>
      <c r="D102" s="99"/>
      <c r="E102" s="99"/>
      <c r="F102" s="99"/>
      <c r="G102" s="99"/>
      <c r="H102" s="99"/>
      <c r="I102" s="99"/>
      <c r="J102" s="99"/>
      <c r="K102" s="99"/>
      <c r="L102" s="99"/>
      <c r="M102" s="99"/>
      <c r="N102" s="99"/>
      <c r="O102" s="99"/>
      <c r="P102" s="99"/>
      <c r="Q102" s="99"/>
      <c r="R102" s="99"/>
      <c r="S102" s="99"/>
    </row>
    <row r="103" spans="1:19" x14ac:dyDescent="0.25">
      <c r="A103" s="99"/>
      <c r="B103" s="99"/>
      <c r="C103" s="99"/>
      <c r="D103" s="99"/>
      <c r="E103" s="99"/>
      <c r="F103" s="99"/>
      <c r="G103" s="99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</row>
    <row r="104" spans="1:19" x14ac:dyDescent="0.25">
      <c r="A104" s="99"/>
      <c r="B104" s="99"/>
      <c r="C104" s="99"/>
      <c r="D104" s="99"/>
      <c r="E104" s="99"/>
      <c r="F104" s="99"/>
      <c r="G104" s="99"/>
      <c r="H104" s="99"/>
      <c r="I104" s="99"/>
      <c r="J104" s="99"/>
      <c r="K104" s="99"/>
      <c r="L104" s="99"/>
      <c r="M104" s="99"/>
      <c r="N104" s="99"/>
      <c r="O104" s="99"/>
      <c r="P104" s="99"/>
      <c r="Q104" s="99"/>
      <c r="R104" s="99"/>
      <c r="S104" s="99"/>
    </row>
    <row r="105" spans="1:19" x14ac:dyDescent="0.25">
      <c r="A105" s="99"/>
      <c r="B105" s="99"/>
      <c r="C105" s="99"/>
      <c r="D105" s="99"/>
      <c r="E105" s="99"/>
      <c r="F105" s="99"/>
      <c r="G105" s="99"/>
      <c r="H105" s="99"/>
      <c r="I105" s="99"/>
      <c r="J105" s="99"/>
      <c r="K105" s="99"/>
      <c r="L105" s="99"/>
      <c r="M105" s="99"/>
      <c r="N105" s="99"/>
      <c r="O105" s="99"/>
      <c r="P105" s="99"/>
      <c r="Q105" s="99"/>
      <c r="R105" s="99"/>
      <c r="S105" s="99"/>
    </row>
    <row r="106" spans="1:19" x14ac:dyDescent="0.25">
      <c r="A106" s="99"/>
      <c r="B106" s="99"/>
      <c r="C106" s="99"/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9"/>
    </row>
    <row r="107" spans="1:19" x14ac:dyDescent="0.25">
      <c r="A107" s="99"/>
      <c r="B107" s="99"/>
      <c r="C107" s="99"/>
      <c r="D107" s="99"/>
      <c r="E107" s="99"/>
      <c r="F107" s="99"/>
      <c r="G107" s="99"/>
      <c r="H107" s="99"/>
      <c r="I107" s="99"/>
      <c r="J107" s="99"/>
      <c r="K107" s="99"/>
      <c r="L107" s="99"/>
      <c r="M107" s="99"/>
      <c r="N107" s="99"/>
      <c r="O107" s="99"/>
      <c r="P107" s="99"/>
      <c r="Q107" s="99"/>
      <c r="R107" s="99"/>
      <c r="S107" s="99"/>
    </row>
    <row r="108" spans="1:19" x14ac:dyDescent="0.25">
      <c r="A108" s="99"/>
      <c r="B108" s="99"/>
      <c r="C108" s="99"/>
      <c r="D108" s="99"/>
      <c r="E108" s="99"/>
      <c r="F108" s="99"/>
      <c r="G108" s="99"/>
      <c r="H108" s="99"/>
      <c r="I108" s="99"/>
      <c r="J108" s="99"/>
      <c r="K108" s="99"/>
      <c r="L108" s="99"/>
      <c r="M108" s="99"/>
      <c r="N108" s="99"/>
      <c r="O108" s="99"/>
      <c r="P108" s="99"/>
      <c r="Q108" s="99"/>
      <c r="R108" s="99"/>
      <c r="S108" s="99"/>
    </row>
    <row r="109" spans="1:19" x14ac:dyDescent="0.25">
      <c r="A109" s="99"/>
      <c r="B109" s="99"/>
      <c r="C109" s="99"/>
      <c r="D109" s="99"/>
      <c r="E109" s="99"/>
      <c r="F109" s="99"/>
      <c r="G109" s="99"/>
      <c r="H109" s="99"/>
      <c r="I109" s="99"/>
      <c r="J109" s="99"/>
      <c r="K109" s="99"/>
      <c r="L109" s="99"/>
      <c r="M109" s="99"/>
      <c r="N109" s="99"/>
      <c r="O109" s="99"/>
      <c r="P109" s="99"/>
      <c r="Q109" s="99"/>
      <c r="R109" s="99"/>
      <c r="S109" s="99"/>
    </row>
    <row r="110" spans="1:19" x14ac:dyDescent="0.25">
      <c r="A110" s="99"/>
      <c r="B110" s="99"/>
      <c r="C110" s="99"/>
      <c r="D110" s="99"/>
      <c r="E110" s="99"/>
      <c r="F110" s="99"/>
      <c r="G110" s="99"/>
      <c r="H110" s="99"/>
      <c r="I110" s="99"/>
      <c r="J110" s="99"/>
      <c r="K110" s="99"/>
      <c r="L110" s="99"/>
      <c r="M110" s="99"/>
      <c r="N110" s="99"/>
      <c r="O110" s="99"/>
      <c r="P110" s="99"/>
      <c r="Q110" s="99"/>
      <c r="R110" s="99"/>
      <c r="S110" s="99"/>
    </row>
    <row r="111" spans="1:19" x14ac:dyDescent="0.25">
      <c r="A111" s="99"/>
      <c r="B111" s="99"/>
      <c r="C111" s="99"/>
      <c r="D111" s="99"/>
      <c r="E111" s="99"/>
      <c r="F111" s="99"/>
      <c r="G111" s="99"/>
      <c r="H111" s="99"/>
      <c r="I111" s="99"/>
      <c r="J111" s="99"/>
      <c r="K111" s="99"/>
      <c r="L111" s="99"/>
      <c r="M111" s="99"/>
      <c r="N111" s="99"/>
      <c r="O111" s="99"/>
      <c r="P111" s="99"/>
      <c r="Q111" s="99"/>
      <c r="R111" s="99"/>
      <c r="S111" s="99"/>
    </row>
    <row r="112" spans="1:19" x14ac:dyDescent="0.25">
      <c r="A112" s="99"/>
      <c r="B112" s="99"/>
      <c r="C112" s="99"/>
      <c r="D112" s="99"/>
      <c r="E112" s="99"/>
      <c r="F112" s="99"/>
      <c r="G112" s="99"/>
      <c r="H112" s="99"/>
      <c r="I112" s="99"/>
      <c r="J112" s="99"/>
      <c r="K112" s="99"/>
      <c r="L112" s="99"/>
      <c r="M112" s="99"/>
      <c r="N112" s="99"/>
      <c r="O112" s="99"/>
      <c r="P112" s="99"/>
      <c r="Q112" s="99"/>
      <c r="R112" s="99"/>
      <c r="S112" s="99"/>
    </row>
    <row r="113" spans="1:19" x14ac:dyDescent="0.25">
      <c r="A113" s="99"/>
      <c r="B113" s="99"/>
      <c r="C113" s="99"/>
      <c r="D113" s="99"/>
      <c r="E113" s="99"/>
      <c r="F113" s="99"/>
      <c r="G113" s="99"/>
      <c r="H113" s="99"/>
      <c r="I113" s="99"/>
      <c r="J113" s="99"/>
      <c r="K113" s="99"/>
      <c r="L113" s="99"/>
      <c r="M113" s="99"/>
      <c r="N113" s="99"/>
      <c r="O113" s="99"/>
      <c r="P113" s="99"/>
      <c r="Q113" s="99"/>
      <c r="R113" s="99"/>
      <c r="S113" s="99"/>
    </row>
    <row r="114" spans="1:19" x14ac:dyDescent="0.25">
      <c r="A114" s="99"/>
      <c r="B114" s="99"/>
      <c r="C114" s="99"/>
      <c r="D114" s="99"/>
      <c r="E114" s="99"/>
      <c r="F114" s="99"/>
      <c r="G114" s="99"/>
      <c r="H114" s="99"/>
      <c r="I114" s="99"/>
      <c r="J114" s="99"/>
      <c r="K114" s="99"/>
      <c r="L114" s="99"/>
      <c r="M114" s="99"/>
      <c r="N114" s="99"/>
      <c r="O114" s="99"/>
      <c r="P114" s="99"/>
      <c r="Q114" s="99"/>
      <c r="R114" s="99"/>
      <c r="S114" s="99"/>
    </row>
    <row r="115" spans="1:19" x14ac:dyDescent="0.25">
      <c r="A115" s="99"/>
      <c r="B115" s="99"/>
      <c r="C115" s="99"/>
      <c r="D115" s="99"/>
      <c r="E115" s="99"/>
      <c r="F115" s="99"/>
      <c r="G115" s="99"/>
      <c r="H115" s="99"/>
      <c r="I115" s="99"/>
      <c r="J115" s="99"/>
      <c r="K115" s="99"/>
      <c r="L115" s="99"/>
      <c r="M115" s="99"/>
      <c r="N115" s="99"/>
      <c r="O115" s="99"/>
      <c r="P115" s="99"/>
      <c r="Q115" s="99"/>
      <c r="R115" s="99"/>
      <c r="S115" s="99"/>
    </row>
    <row r="116" spans="1:19" x14ac:dyDescent="0.25">
      <c r="A116" s="99"/>
      <c r="B116" s="99"/>
      <c r="C116" s="99"/>
      <c r="D116" s="99"/>
      <c r="E116" s="99"/>
      <c r="F116" s="99"/>
      <c r="G116" s="99"/>
      <c r="H116" s="99"/>
      <c r="I116" s="99"/>
      <c r="J116" s="99"/>
      <c r="K116" s="99"/>
      <c r="L116" s="99"/>
      <c r="M116" s="99"/>
      <c r="N116" s="99"/>
      <c r="O116" s="99"/>
      <c r="P116" s="99"/>
      <c r="Q116" s="99"/>
      <c r="R116" s="99"/>
      <c r="S116" s="99"/>
    </row>
  </sheetData>
  <mergeCells count="9">
    <mergeCell ref="A1:O3"/>
    <mergeCell ref="A7:O7"/>
    <mergeCell ref="B9:E9"/>
    <mergeCell ref="I9:L9"/>
    <mergeCell ref="I10:L11"/>
    <mergeCell ref="B10:E11"/>
    <mergeCell ref="A4:O4"/>
    <mergeCell ref="A5:O5"/>
    <mergeCell ref="A6:O6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EDD91-9E72-4CB0-8A85-3399007DF4BD}">
  <sheetPr codeName="Sheet9">
    <tabColor theme="1"/>
    <pageSetUpPr fitToPage="1"/>
  </sheetPr>
  <dimension ref="A1:J31"/>
  <sheetViews>
    <sheetView zoomScaleNormal="100" zoomScaleSheetLayoutView="120" workbookViewId="0">
      <pane xSplit="9" ySplit="4" topLeftCell="J5" activePane="bottomRight" state="frozen"/>
      <selection activeCell="U50" sqref="U50"/>
      <selection pane="topRight" activeCell="U50" sqref="U50"/>
      <selection pane="bottomLeft" activeCell="U50" sqref="U50"/>
      <selection pane="bottomRight" activeCell="G22" sqref="G22:I30"/>
    </sheetView>
  </sheetViews>
  <sheetFormatPr defaultRowHeight="15" x14ac:dyDescent="0.25"/>
  <cols>
    <col min="1" max="1" width="8.7109375" style="8" customWidth="1"/>
    <col min="2" max="2" width="44.42578125" bestFit="1" customWidth="1"/>
    <col min="3" max="3" width="12.7109375" style="15" customWidth="1"/>
    <col min="4" max="5" width="12.7109375" customWidth="1"/>
    <col min="6" max="6" width="12.7109375" style="5" customWidth="1"/>
    <col min="7" max="9" width="12.7109375" customWidth="1"/>
    <col min="11" max="11" width="19.7109375" bestFit="1" customWidth="1"/>
    <col min="12" max="12" width="11.7109375" customWidth="1"/>
  </cols>
  <sheetData>
    <row r="1" spans="1:10" ht="24" thickBot="1" x14ac:dyDescent="0.4">
      <c r="A1" s="266" t="s">
        <v>147</v>
      </c>
      <c r="B1" s="251"/>
      <c r="C1" s="251"/>
      <c r="D1" s="251"/>
      <c r="E1" s="251"/>
      <c r="F1" s="251"/>
      <c r="G1" s="251"/>
      <c r="H1" s="251"/>
      <c r="I1" s="252"/>
    </row>
    <row r="2" spans="1:10" s="5" customFormat="1" ht="12" customHeight="1" thickBot="1" x14ac:dyDescent="0.3">
      <c r="A2" s="26"/>
      <c r="B2" s="26"/>
      <c r="C2" s="22"/>
      <c r="D2" s="22"/>
      <c r="E2" s="22"/>
      <c r="F2" s="22"/>
      <c r="G2" s="22"/>
      <c r="H2" s="22"/>
      <c r="I2" s="22"/>
      <c r="J2" s="23"/>
    </row>
    <row r="3" spans="1:10" ht="24" thickBot="1" x14ac:dyDescent="0.4">
      <c r="A3" s="45"/>
      <c r="B3" s="28"/>
      <c r="C3" s="267" t="s">
        <v>81</v>
      </c>
      <c r="D3" s="268"/>
      <c r="E3" s="46"/>
      <c r="F3" s="267" t="s">
        <v>82</v>
      </c>
      <c r="G3" s="268"/>
      <c r="H3" s="267" t="s">
        <v>83</v>
      </c>
      <c r="I3" s="268"/>
    </row>
    <row r="4" spans="1:10" ht="45.75" customHeight="1" x14ac:dyDescent="0.25">
      <c r="A4" s="32" t="s">
        <v>0</v>
      </c>
      <c r="B4" s="30" t="s">
        <v>1</v>
      </c>
      <c r="C4" s="31" t="s">
        <v>93</v>
      </c>
      <c r="D4" s="145" t="s">
        <v>94</v>
      </c>
      <c r="E4" s="146" t="s">
        <v>95</v>
      </c>
      <c r="F4" s="147" t="s">
        <v>2</v>
      </c>
      <c r="G4" s="148" t="s">
        <v>5</v>
      </c>
      <c r="H4" s="149" t="s">
        <v>7</v>
      </c>
      <c r="I4" s="122" t="s">
        <v>8</v>
      </c>
    </row>
    <row r="5" spans="1:10" x14ac:dyDescent="0.25">
      <c r="A5" s="152" t="s">
        <v>20</v>
      </c>
      <c r="B5" s="220" t="s">
        <v>271</v>
      </c>
      <c r="C5" s="102">
        <v>523.25</v>
      </c>
      <c r="D5" s="102">
        <v>575</v>
      </c>
      <c r="E5" s="127">
        <f>D5-C5</f>
        <v>51.75</v>
      </c>
      <c r="F5" s="170">
        <f ca="1">_xlfn.XLOOKUP(A5,'Lyriq Ref'!A:A,'Lyriq Ref'!B:B,"")</f>
        <v>0.9</v>
      </c>
      <c r="G5" s="127">
        <f t="shared" ref="G5:G22" ca="1" si="0">(F5*Labor)*SvcGross</f>
        <v>118.125</v>
      </c>
      <c r="H5" s="156">
        <f t="shared" ref="H5:H14" ca="1" si="1">G5+E5</f>
        <v>169.875</v>
      </c>
      <c r="I5" s="117">
        <f t="shared" ref="I5:I22" ca="1" si="2">H5/D5</f>
        <v>0.29543478260869566</v>
      </c>
    </row>
    <row r="6" spans="1:10" x14ac:dyDescent="0.25">
      <c r="A6" s="152" t="s">
        <v>9</v>
      </c>
      <c r="B6" s="220" t="s">
        <v>272</v>
      </c>
      <c r="C6" s="102">
        <v>4272.45</v>
      </c>
      <c r="D6" s="102">
        <v>4695</v>
      </c>
      <c r="E6" s="127">
        <f t="shared" ref="E6:E30" si="3">D6-C6</f>
        <v>422.55000000000018</v>
      </c>
      <c r="F6" s="170">
        <f ca="1">_xlfn.XLOOKUP(A6,'Lyriq Ref'!A:A,'Lyriq Ref'!B:B,"")</f>
        <v>4.2</v>
      </c>
      <c r="G6" s="127">
        <f t="shared" ca="1" si="0"/>
        <v>551.25</v>
      </c>
      <c r="H6" s="156">
        <f t="shared" ca="1" si="1"/>
        <v>973.80000000000018</v>
      </c>
      <c r="I6" s="117">
        <f t="shared" ca="1" si="2"/>
        <v>0.20741214057507992</v>
      </c>
    </row>
    <row r="7" spans="1:10" x14ac:dyDescent="0.25">
      <c r="A7" s="152" t="s">
        <v>49</v>
      </c>
      <c r="B7" s="220" t="s">
        <v>253</v>
      </c>
      <c r="C7" s="102">
        <v>386.75</v>
      </c>
      <c r="D7" s="102">
        <v>425</v>
      </c>
      <c r="E7" s="127">
        <f t="shared" si="3"/>
        <v>38.25</v>
      </c>
      <c r="F7" s="170">
        <f ca="1">_xlfn.XLOOKUP(A7,'Lyriq Ref'!A:A,'Lyriq Ref'!B:B,"")</f>
        <v>0.2</v>
      </c>
      <c r="G7" s="127">
        <f t="shared" ca="1" si="0"/>
        <v>26.25</v>
      </c>
      <c r="H7" s="156">
        <f t="shared" ca="1" si="1"/>
        <v>64.5</v>
      </c>
      <c r="I7" s="117">
        <f t="shared" ca="1" si="2"/>
        <v>0.15176470588235294</v>
      </c>
    </row>
    <row r="8" spans="1:10" x14ac:dyDescent="0.25">
      <c r="A8" s="152" t="s">
        <v>33</v>
      </c>
      <c r="B8" s="220" t="s">
        <v>254</v>
      </c>
      <c r="C8" s="102">
        <v>386.75</v>
      </c>
      <c r="D8" s="102">
        <v>425</v>
      </c>
      <c r="E8" s="127">
        <f t="shared" si="3"/>
        <v>38.25</v>
      </c>
      <c r="F8" s="170">
        <f ca="1">_xlfn.XLOOKUP(A8,'Lyriq Ref'!A:A,'Lyriq Ref'!B:B,"")</f>
        <v>0.2</v>
      </c>
      <c r="G8" s="127">
        <f t="shared" ca="1" si="0"/>
        <v>26.25</v>
      </c>
      <c r="H8" s="156">
        <f t="shared" ca="1" si="1"/>
        <v>64.5</v>
      </c>
      <c r="I8" s="117">
        <f t="shared" ca="1" si="2"/>
        <v>0.15176470588235294</v>
      </c>
    </row>
    <row r="9" spans="1:10" x14ac:dyDescent="0.25">
      <c r="A9" s="152" t="s">
        <v>19</v>
      </c>
      <c r="B9" s="220" t="s">
        <v>273</v>
      </c>
      <c r="C9" s="102">
        <v>4181.45</v>
      </c>
      <c r="D9" s="102">
        <v>4595</v>
      </c>
      <c r="E9" s="127">
        <f t="shared" si="3"/>
        <v>413.55000000000018</v>
      </c>
      <c r="F9" s="170">
        <f ca="1">_xlfn.XLOOKUP(A9,'Lyriq Ref'!A:A,'Lyriq Ref'!B:B,"")</f>
        <v>1.9000000000000001</v>
      </c>
      <c r="G9" s="127">
        <f t="shared" ca="1" si="0"/>
        <v>249.375</v>
      </c>
      <c r="H9" s="156">
        <f t="shared" ca="1" si="1"/>
        <v>662.92500000000018</v>
      </c>
      <c r="I9" s="117">
        <f t="shared" ca="1" si="2"/>
        <v>0.14427094668117524</v>
      </c>
    </row>
    <row r="10" spans="1:10" x14ac:dyDescent="0.25">
      <c r="A10" s="152" t="s">
        <v>74</v>
      </c>
      <c r="B10" s="220" t="s">
        <v>274</v>
      </c>
      <c r="C10" s="102">
        <v>4181.45</v>
      </c>
      <c r="D10" s="102">
        <v>4595</v>
      </c>
      <c r="E10" s="127">
        <f t="shared" si="3"/>
        <v>413.55000000000018</v>
      </c>
      <c r="F10" s="170">
        <f ca="1">_xlfn.XLOOKUP(A10,'Lyriq Ref'!A:A,'Lyriq Ref'!B:B,"")</f>
        <v>3.5</v>
      </c>
      <c r="G10" s="127">
        <f t="shared" ca="1" si="0"/>
        <v>459.375</v>
      </c>
      <c r="H10" s="156">
        <f t="shared" ca="1" si="1"/>
        <v>872.92500000000018</v>
      </c>
      <c r="I10" s="117">
        <f t="shared" ca="1" si="2"/>
        <v>0.18997279651795435</v>
      </c>
    </row>
    <row r="11" spans="1:10" x14ac:dyDescent="0.25">
      <c r="A11" s="152" t="s">
        <v>149</v>
      </c>
      <c r="B11" s="220" t="s">
        <v>275</v>
      </c>
      <c r="C11" s="102">
        <v>4181.45</v>
      </c>
      <c r="D11" s="102">
        <v>4595</v>
      </c>
      <c r="E11" s="127">
        <f t="shared" si="3"/>
        <v>413.55000000000018</v>
      </c>
      <c r="F11" s="170">
        <f ca="1">_xlfn.XLOOKUP(A11,'Lyriq Ref'!A:A,'Lyriq Ref'!B:B,"")</f>
        <v>1.9000000000000001</v>
      </c>
      <c r="G11" s="127">
        <f t="shared" ca="1" si="0"/>
        <v>249.375</v>
      </c>
      <c r="H11" s="156">
        <f t="shared" ca="1" si="1"/>
        <v>662.92500000000018</v>
      </c>
      <c r="I11" s="117">
        <f t="shared" ca="1" si="2"/>
        <v>0.14427094668117524</v>
      </c>
    </row>
    <row r="12" spans="1:10" x14ac:dyDescent="0.25">
      <c r="A12" s="152" t="s">
        <v>131</v>
      </c>
      <c r="B12" s="220" t="s">
        <v>276</v>
      </c>
      <c r="C12" s="102">
        <v>477.75</v>
      </c>
      <c r="D12" s="102">
        <v>525</v>
      </c>
      <c r="E12" s="127">
        <f t="shared" si="3"/>
        <v>47.25</v>
      </c>
      <c r="F12" s="170">
        <f ca="1">_xlfn.XLOOKUP(A12,'Lyriq Ref'!A:A,'Lyriq Ref'!B:B,"")</f>
        <v>0.9</v>
      </c>
      <c r="G12" s="127">
        <f t="shared" ca="1" si="0"/>
        <v>118.125</v>
      </c>
      <c r="H12" s="156">
        <f t="shared" ca="1" si="1"/>
        <v>165.375</v>
      </c>
      <c r="I12" s="117">
        <f t="shared" ca="1" si="2"/>
        <v>0.315</v>
      </c>
    </row>
    <row r="13" spans="1:10" ht="15.75" thickBot="1" x14ac:dyDescent="0.3">
      <c r="A13" s="152" t="s">
        <v>11</v>
      </c>
      <c r="B13" s="220" t="s">
        <v>277</v>
      </c>
      <c r="C13" s="102">
        <v>2725.45</v>
      </c>
      <c r="D13" s="102">
        <v>2995</v>
      </c>
      <c r="E13" s="127">
        <f t="shared" si="3"/>
        <v>269.55000000000018</v>
      </c>
      <c r="F13" s="177">
        <f ca="1">_xlfn.XLOOKUP(A13,'Lyriq Ref'!A:A,'Lyriq Ref'!B:B,"")</f>
        <v>2.2999999999999998</v>
      </c>
      <c r="G13" s="165">
        <f t="shared" ca="1" si="0"/>
        <v>301.87499999999994</v>
      </c>
      <c r="H13" s="166">
        <f t="shared" ca="1" si="1"/>
        <v>571.42500000000018</v>
      </c>
      <c r="I13" s="178">
        <f t="shared" ca="1" si="2"/>
        <v>0.19079298831385649</v>
      </c>
    </row>
    <row r="14" spans="1:10" ht="15.75" thickBot="1" x14ac:dyDescent="0.3">
      <c r="A14" s="152" t="s">
        <v>26</v>
      </c>
      <c r="B14" s="220" t="s">
        <v>258</v>
      </c>
      <c r="C14" s="102">
        <v>632.45000000000005</v>
      </c>
      <c r="D14" s="102">
        <v>695</v>
      </c>
      <c r="E14" s="127">
        <f t="shared" si="3"/>
        <v>62.549999999999955</v>
      </c>
      <c r="F14" s="173">
        <f ca="1">_xlfn.XLOOKUP(A14,'Lyriq Ref'!A:A,'Lyriq Ref'!B:B,"")</f>
        <v>0.2</v>
      </c>
      <c r="G14" s="172">
        <f t="shared" ca="1" si="0"/>
        <v>26.25</v>
      </c>
      <c r="H14" s="174">
        <f t="shared" ca="1" si="1"/>
        <v>88.799999999999955</v>
      </c>
      <c r="I14" s="175">
        <f t="shared" ca="1" si="2"/>
        <v>0.1277697841726618</v>
      </c>
    </row>
    <row r="15" spans="1:10" x14ac:dyDescent="0.25">
      <c r="A15" s="50" t="s">
        <v>87</v>
      </c>
      <c r="B15" s="219" t="s">
        <v>88</v>
      </c>
      <c r="C15" s="144">
        <v>1819.09</v>
      </c>
      <c r="D15" s="144">
        <v>1999</v>
      </c>
      <c r="E15" s="127">
        <f t="shared" si="3"/>
        <v>179.91000000000008</v>
      </c>
      <c r="F15" s="176">
        <f>_xlfn.XLOOKUP(A15,'Lyriq Ref'!A:A,'Lyriq Ref'!B:B,"")</f>
        <v>0.1</v>
      </c>
      <c r="G15" s="162">
        <f>(F15*Labor)*SvcGross</f>
        <v>13.125</v>
      </c>
      <c r="H15" s="163">
        <f>G15+E15</f>
        <v>193.03500000000008</v>
      </c>
      <c r="I15" s="164">
        <f t="shared" si="2"/>
        <v>9.6565782891445767E-2</v>
      </c>
    </row>
    <row r="16" spans="1:10" x14ac:dyDescent="0.25">
      <c r="A16" s="50" t="s">
        <v>89</v>
      </c>
      <c r="B16" s="219" t="s">
        <v>120</v>
      </c>
      <c r="C16" s="144">
        <v>818.09</v>
      </c>
      <c r="D16" s="144">
        <v>899</v>
      </c>
      <c r="E16" s="127">
        <f t="shared" si="3"/>
        <v>80.909999999999968</v>
      </c>
      <c r="F16" s="170">
        <f>_xlfn.XLOOKUP(A16,'Lyriq Ref'!A:A,'Lyriq Ref'!B:B,"")</f>
        <v>0.1</v>
      </c>
      <c r="G16" s="127">
        <f>(F16*Labor)*SvcGross</f>
        <v>13.125</v>
      </c>
      <c r="H16" s="156">
        <f>G16+E16</f>
        <v>94.034999999999968</v>
      </c>
      <c r="I16" s="117">
        <f t="shared" si="2"/>
        <v>0.10459955506117906</v>
      </c>
    </row>
    <row r="17" spans="1:9" x14ac:dyDescent="0.25">
      <c r="A17" s="50" t="s">
        <v>65</v>
      </c>
      <c r="B17" s="219" t="s">
        <v>148</v>
      </c>
      <c r="C17" s="144">
        <v>409.5</v>
      </c>
      <c r="D17" s="144">
        <v>450</v>
      </c>
      <c r="E17" s="127">
        <f t="shared" si="3"/>
        <v>40.5</v>
      </c>
      <c r="F17" s="170">
        <f>_xlfn.XLOOKUP(A17,'Lyriq Ref'!A:A,'Lyriq Ref'!B:B,"")</f>
        <v>0.8</v>
      </c>
      <c r="G17" s="127">
        <f>(F17*Labor)*SvcGross</f>
        <v>105</v>
      </c>
      <c r="H17" s="156">
        <f>G17+E17</f>
        <v>145.5</v>
      </c>
      <c r="I17" s="117">
        <f t="shared" si="2"/>
        <v>0.32333333333333331</v>
      </c>
    </row>
    <row r="18" spans="1:9" x14ac:dyDescent="0.25">
      <c r="A18" s="50" t="s">
        <v>96</v>
      </c>
      <c r="B18" s="219" t="s">
        <v>97</v>
      </c>
      <c r="C18" s="144">
        <v>177.45</v>
      </c>
      <c r="D18" s="144">
        <v>195</v>
      </c>
      <c r="E18" s="127">
        <f t="shared" si="3"/>
        <v>17.550000000000011</v>
      </c>
      <c r="F18" s="170">
        <f>_xlfn.XLOOKUP(A18,'Lyriq Ref'!A:A,'Lyriq Ref'!B:B,"")</f>
        <v>0.1</v>
      </c>
      <c r="G18" s="127">
        <f t="shared" si="0"/>
        <v>13.125</v>
      </c>
      <c r="H18" s="156">
        <f t="shared" ref="H18:H22" si="4">G18+E18</f>
        <v>30.675000000000011</v>
      </c>
      <c r="I18" s="129">
        <f t="shared" si="2"/>
        <v>0.15730769230769237</v>
      </c>
    </row>
    <row r="19" spans="1:9" x14ac:dyDescent="0.25">
      <c r="A19" s="50" t="s">
        <v>92</v>
      </c>
      <c r="B19" s="219" t="s">
        <v>126</v>
      </c>
      <c r="C19" s="144">
        <v>250.25</v>
      </c>
      <c r="D19" s="144">
        <v>275</v>
      </c>
      <c r="E19" s="127">
        <f t="shared" si="3"/>
        <v>24.75</v>
      </c>
      <c r="F19" s="170">
        <f>_xlfn.XLOOKUP(A19,'Lyriq Ref'!A:A,'Lyriq Ref'!B:B,"")</f>
        <v>0.1</v>
      </c>
      <c r="G19" s="127">
        <f t="shared" si="0"/>
        <v>13.125</v>
      </c>
      <c r="H19" s="156">
        <f t="shared" si="4"/>
        <v>37.875</v>
      </c>
      <c r="I19" s="129">
        <f t="shared" si="2"/>
        <v>0.13772727272727273</v>
      </c>
    </row>
    <row r="20" spans="1:9" x14ac:dyDescent="0.25">
      <c r="A20" s="50" t="s">
        <v>58</v>
      </c>
      <c r="B20" s="219" t="s">
        <v>133</v>
      </c>
      <c r="C20" s="144">
        <v>750.75</v>
      </c>
      <c r="D20" s="144">
        <v>825</v>
      </c>
      <c r="E20" s="127">
        <f t="shared" si="3"/>
        <v>74.25</v>
      </c>
      <c r="F20" s="170">
        <f>_xlfn.XLOOKUP(A20,'Lyriq Ref'!A:A,'Lyriq Ref'!B:B,"")</f>
        <v>1.5</v>
      </c>
      <c r="G20" s="127">
        <f t="shared" si="0"/>
        <v>196.875</v>
      </c>
      <c r="H20" s="156">
        <f t="shared" si="4"/>
        <v>271.125</v>
      </c>
      <c r="I20" s="129">
        <f t="shared" si="2"/>
        <v>0.32863636363636362</v>
      </c>
    </row>
    <row r="21" spans="1:9" x14ac:dyDescent="0.25">
      <c r="A21" s="50" t="s">
        <v>71</v>
      </c>
      <c r="B21" s="219" t="s">
        <v>73</v>
      </c>
      <c r="C21" s="144">
        <v>1064.7</v>
      </c>
      <c r="D21" s="144">
        <v>1170</v>
      </c>
      <c r="E21" s="127">
        <f t="shared" si="3"/>
        <v>105.29999999999995</v>
      </c>
      <c r="F21" s="170">
        <f>_xlfn.XLOOKUP(A21,'Lyriq Ref'!A:A,'Lyriq Ref'!B:B,"")</f>
        <v>1.5</v>
      </c>
      <c r="G21" s="127">
        <f t="shared" si="0"/>
        <v>196.875</v>
      </c>
      <c r="H21" s="156">
        <f t="shared" si="4"/>
        <v>302.17499999999995</v>
      </c>
      <c r="I21" s="129">
        <f t="shared" si="2"/>
        <v>0.25826923076923075</v>
      </c>
    </row>
    <row r="22" spans="1:9" x14ac:dyDescent="0.25">
      <c r="A22" s="50" t="s">
        <v>69</v>
      </c>
      <c r="B22" s="219" t="s">
        <v>75</v>
      </c>
      <c r="C22" s="144">
        <v>841.75</v>
      </c>
      <c r="D22" s="144">
        <v>925</v>
      </c>
      <c r="E22" s="127">
        <f t="shared" si="3"/>
        <v>83.25</v>
      </c>
      <c r="F22" s="170">
        <f>_xlfn.XLOOKUP(A22,'Lyriq Ref'!A:A,'Lyriq Ref'!B:B,"")</f>
        <v>1</v>
      </c>
      <c r="G22" s="127">
        <f t="shared" si="0"/>
        <v>131.25</v>
      </c>
      <c r="H22" s="156">
        <f t="shared" si="4"/>
        <v>214.5</v>
      </c>
      <c r="I22" s="129">
        <f t="shared" si="2"/>
        <v>0.23189189189189188</v>
      </c>
    </row>
    <row r="23" spans="1:9" x14ac:dyDescent="0.25">
      <c r="A23" s="50" t="s">
        <v>150</v>
      </c>
      <c r="B23" s="219" t="s">
        <v>85</v>
      </c>
      <c r="C23" s="144">
        <v>3635.45</v>
      </c>
      <c r="D23" s="144">
        <v>3995</v>
      </c>
      <c r="E23" s="127">
        <f t="shared" si="3"/>
        <v>359.55000000000018</v>
      </c>
      <c r="F23" s="170">
        <f>_xlfn.XLOOKUP(A23,'Lyriq Ref'!A:A,'Lyriq Ref'!B:B,"")</f>
        <v>1.8</v>
      </c>
      <c r="G23" s="127">
        <f t="shared" ref="G23:G30" si="5">(F23*Labor)*SvcGross</f>
        <v>236.25</v>
      </c>
      <c r="H23" s="156">
        <f t="shared" ref="H23:H30" si="6">G23+E23</f>
        <v>595.80000000000018</v>
      </c>
      <c r="I23" s="129">
        <f t="shared" ref="I23:I30" si="7">H23/D23</f>
        <v>0.14913642052565712</v>
      </c>
    </row>
    <row r="24" spans="1:9" x14ac:dyDescent="0.25">
      <c r="A24" s="50" t="s">
        <v>15</v>
      </c>
      <c r="B24" s="219" t="s">
        <v>16</v>
      </c>
      <c r="C24" s="144">
        <v>118.3</v>
      </c>
      <c r="D24" s="144">
        <v>130</v>
      </c>
      <c r="E24" s="127">
        <f t="shared" si="3"/>
        <v>11.700000000000003</v>
      </c>
      <c r="F24" s="170">
        <f>_xlfn.XLOOKUP(A24,'Lyriq Ref'!A:A,'Lyriq Ref'!B:B,"")</f>
        <v>0.1</v>
      </c>
      <c r="G24" s="127">
        <f t="shared" si="5"/>
        <v>13.125</v>
      </c>
      <c r="H24" s="156">
        <f t="shared" si="6"/>
        <v>24.825000000000003</v>
      </c>
      <c r="I24" s="129">
        <f t="shared" si="7"/>
        <v>0.19096153846153849</v>
      </c>
    </row>
    <row r="25" spans="1:9" x14ac:dyDescent="0.25">
      <c r="A25" s="50" t="s">
        <v>59</v>
      </c>
      <c r="B25" s="219" t="s">
        <v>127</v>
      </c>
      <c r="C25" s="144">
        <v>177.45</v>
      </c>
      <c r="D25" s="144">
        <v>195</v>
      </c>
      <c r="E25" s="127">
        <f t="shared" si="3"/>
        <v>17.550000000000011</v>
      </c>
      <c r="F25" s="170">
        <f>_xlfn.XLOOKUP(A25,'Lyriq Ref'!A:A,'Lyriq Ref'!B:B,"")</f>
        <v>0.1</v>
      </c>
      <c r="G25" s="127">
        <f t="shared" si="5"/>
        <v>13.125</v>
      </c>
      <c r="H25" s="156">
        <f t="shared" si="6"/>
        <v>30.675000000000011</v>
      </c>
      <c r="I25" s="129">
        <f t="shared" si="7"/>
        <v>0.15730769230769237</v>
      </c>
    </row>
    <row r="26" spans="1:9" x14ac:dyDescent="0.25">
      <c r="A26" s="50" t="s">
        <v>151</v>
      </c>
      <c r="B26" s="219" t="s">
        <v>152</v>
      </c>
      <c r="C26" s="144">
        <v>450.45</v>
      </c>
      <c r="D26" s="144">
        <v>495</v>
      </c>
      <c r="E26" s="127">
        <f t="shared" si="3"/>
        <v>44.550000000000011</v>
      </c>
      <c r="F26" s="170">
        <f>_xlfn.XLOOKUP(A26,'Lyriq Ref'!A:A,'Lyriq Ref'!B:B,"")</f>
        <v>0.3</v>
      </c>
      <c r="G26" s="127">
        <f t="shared" si="5"/>
        <v>39.375</v>
      </c>
      <c r="H26" s="156">
        <f t="shared" si="6"/>
        <v>83.925000000000011</v>
      </c>
      <c r="I26" s="129">
        <f t="shared" si="7"/>
        <v>0.16954545454545455</v>
      </c>
    </row>
    <row r="27" spans="1:9" x14ac:dyDescent="0.25">
      <c r="A27" s="50" t="s">
        <v>153</v>
      </c>
      <c r="B27" s="219" t="s">
        <v>43</v>
      </c>
      <c r="C27" s="144">
        <v>409.5</v>
      </c>
      <c r="D27" s="144">
        <v>450</v>
      </c>
      <c r="E27" s="127">
        <f t="shared" si="3"/>
        <v>40.5</v>
      </c>
      <c r="F27" s="170">
        <f>_xlfn.XLOOKUP(A27,'Lyriq Ref'!A:A,'Lyriq Ref'!B:B,"")</f>
        <v>0.2</v>
      </c>
      <c r="G27" s="127">
        <f t="shared" si="5"/>
        <v>26.25</v>
      </c>
      <c r="H27" s="156">
        <f t="shared" si="6"/>
        <v>66.75</v>
      </c>
      <c r="I27" s="129">
        <f t="shared" si="7"/>
        <v>0.14833333333333334</v>
      </c>
    </row>
    <row r="28" spans="1:9" x14ac:dyDescent="0.25">
      <c r="A28" s="50" t="s">
        <v>39</v>
      </c>
      <c r="B28" s="219" t="s">
        <v>48</v>
      </c>
      <c r="C28" s="144">
        <v>227.5</v>
      </c>
      <c r="D28" s="144">
        <v>250</v>
      </c>
      <c r="E28" s="127">
        <f t="shared" si="3"/>
        <v>22.5</v>
      </c>
      <c r="F28" s="170">
        <f>_xlfn.XLOOKUP(A28,'Lyriq Ref'!A:A,'Lyriq Ref'!B:B,"")</f>
        <v>0.1</v>
      </c>
      <c r="G28" s="127">
        <f t="shared" si="5"/>
        <v>13.125</v>
      </c>
      <c r="H28" s="156">
        <f t="shared" si="6"/>
        <v>35.625</v>
      </c>
      <c r="I28" s="129">
        <f t="shared" si="7"/>
        <v>0.14249999999999999</v>
      </c>
    </row>
    <row r="29" spans="1:9" x14ac:dyDescent="0.25">
      <c r="A29" s="50" t="s">
        <v>23</v>
      </c>
      <c r="B29" s="219" t="s">
        <v>154</v>
      </c>
      <c r="C29" s="144">
        <v>432.25</v>
      </c>
      <c r="D29" s="144">
        <v>475</v>
      </c>
      <c r="E29" s="127">
        <f t="shared" si="3"/>
        <v>42.75</v>
      </c>
      <c r="F29" s="170">
        <f>_xlfn.XLOOKUP(A29,'Lyriq Ref'!A:A,'Lyriq Ref'!B:B,"")</f>
        <v>1</v>
      </c>
      <c r="G29" s="127">
        <f t="shared" si="5"/>
        <v>131.25</v>
      </c>
      <c r="H29" s="156">
        <f t="shared" si="6"/>
        <v>174</v>
      </c>
      <c r="I29" s="129">
        <f t="shared" si="7"/>
        <v>0.36631578947368421</v>
      </c>
    </row>
    <row r="30" spans="1:9" x14ac:dyDescent="0.25">
      <c r="A30" s="50" t="s">
        <v>41</v>
      </c>
      <c r="B30" s="219" t="s">
        <v>42</v>
      </c>
      <c r="C30" s="144">
        <v>77.349999999999994</v>
      </c>
      <c r="D30" s="144">
        <v>85</v>
      </c>
      <c r="E30" s="127">
        <f t="shared" si="3"/>
        <v>7.6500000000000057</v>
      </c>
      <c r="F30" s="170">
        <f>_xlfn.XLOOKUP(A30,'Lyriq Ref'!A:A,'Lyriq Ref'!B:B,"")</f>
        <v>0.1</v>
      </c>
      <c r="G30" s="127">
        <f t="shared" si="5"/>
        <v>13.125</v>
      </c>
      <c r="H30" s="156">
        <f t="shared" si="6"/>
        <v>20.775000000000006</v>
      </c>
      <c r="I30" s="129">
        <f t="shared" si="7"/>
        <v>0.24441176470588241</v>
      </c>
    </row>
    <row r="31" spans="1:9" x14ac:dyDescent="0.25">
      <c r="C31" s="52"/>
      <c r="D31" s="52"/>
    </row>
  </sheetData>
  <autoFilter ref="A4:I4" xr:uid="{19CEDD91-9E72-4CB0-8A85-3399007DF4BD}"/>
  <sortState xmlns:xlrd2="http://schemas.microsoft.com/office/spreadsheetml/2017/richdata2" ref="A21:I30">
    <sortCondition descending="1" ref="I21:I30"/>
  </sortState>
  <mergeCells count="4">
    <mergeCell ref="A1:I1"/>
    <mergeCell ref="F3:G3"/>
    <mergeCell ref="H3:I3"/>
    <mergeCell ref="C3:D3"/>
  </mergeCells>
  <printOptions horizontalCentered="1"/>
  <pageMargins left="0.25" right="0.25" top="0.75" bottom="0.75" header="0.3" footer="0.3"/>
  <pageSetup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4077F-B807-406D-9142-339743C7DCC0}">
  <sheetPr codeName="Sheet10">
    <tabColor theme="4" tint="-0.249977111117893"/>
  </sheetPr>
  <dimension ref="A1:K40"/>
  <sheetViews>
    <sheetView topLeftCell="A7" workbookViewId="0">
      <selection activeCell="U50" sqref="U50"/>
    </sheetView>
  </sheetViews>
  <sheetFormatPr defaultRowHeight="15" x14ac:dyDescent="0.25"/>
  <sheetData>
    <row r="1" spans="1:11" x14ac:dyDescent="0.25">
      <c r="A1" t="s">
        <v>87</v>
      </c>
      <c r="B1">
        <v>0.1</v>
      </c>
    </row>
    <row r="2" spans="1:11" x14ac:dyDescent="0.25">
      <c r="A2" t="s">
        <v>89</v>
      </c>
      <c r="B2">
        <v>0.1</v>
      </c>
    </row>
    <row r="3" spans="1:11" x14ac:dyDescent="0.25">
      <c r="A3" t="s">
        <v>92</v>
      </c>
      <c r="B3">
        <v>0.1</v>
      </c>
      <c r="J3" s="113"/>
      <c r="K3" s="57"/>
    </row>
    <row r="4" spans="1:11" x14ac:dyDescent="0.25">
      <c r="A4" t="s">
        <v>65</v>
      </c>
      <c r="B4">
        <v>0.8</v>
      </c>
      <c r="J4" s="113"/>
      <c r="K4" s="57"/>
    </row>
    <row r="5" spans="1:11" x14ac:dyDescent="0.25">
      <c r="A5" t="s">
        <v>17</v>
      </c>
      <c r="B5">
        <v>0.1</v>
      </c>
      <c r="J5" s="113"/>
      <c r="K5" s="57"/>
    </row>
    <row r="6" spans="1:11" x14ac:dyDescent="0.25">
      <c r="A6" t="s">
        <v>58</v>
      </c>
      <c r="B6">
        <v>1.5</v>
      </c>
      <c r="J6" s="113"/>
      <c r="K6" s="57"/>
    </row>
    <row r="7" spans="1:11" x14ac:dyDescent="0.25">
      <c r="A7" t="s">
        <v>236</v>
      </c>
      <c r="B7">
        <v>0.1</v>
      </c>
      <c r="J7" s="113"/>
      <c r="K7" s="57"/>
    </row>
    <row r="8" spans="1:11" x14ac:dyDescent="0.25">
      <c r="A8" t="s">
        <v>23</v>
      </c>
      <c r="B8">
        <v>1</v>
      </c>
      <c r="J8" s="113"/>
      <c r="K8" s="57"/>
    </row>
    <row r="9" spans="1:11" x14ac:dyDescent="0.25">
      <c r="A9" t="s">
        <v>153</v>
      </c>
      <c r="B9">
        <v>0.2</v>
      </c>
    </row>
    <row r="10" spans="1:11" x14ac:dyDescent="0.25">
      <c r="A10" t="s">
        <v>30</v>
      </c>
      <c r="B10">
        <v>0.1</v>
      </c>
    </row>
    <row r="11" spans="1:11" x14ac:dyDescent="0.25">
      <c r="A11" t="s">
        <v>59</v>
      </c>
      <c r="B11">
        <v>0.1</v>
      </c>
    </row>
    <row r="12" spans="1:11" x14ac:dyDescent="0.25">
      <c r="A12" t="s">
        <v>37</v>
      </c>
      <c r="B12">
        <v>0.1</v>
      </c>
    </row>
    <row r="13" spans="1:11" x14ac:dyDescent="0.25">
      <c r="A13" t="s">
        <v>46</v>
      </c>
      <c r="B13">
        <v>0.1</v>
      </c>
    </row>
    <row r="14" spans="1:11" x14ac:dyDescent="0.25">
      <c r="A14" t="s">
        <v>34</v>
      </c>
      <c r="B14">
        <v>0.1</v>
      </c>
    </row>
    <row r="15" spans="1:11" x14ac:dyDescent="0.25">
      <c r="A15" t="s">
        <v>38</v>
      </c>
      <c r="B15">
        <v>0.1</v>
      </c>
    </row>
    <row r="16" spans="1:11" x14ac:dyDescent="0.25">
      <c r="A16" t="s">
        <v>222</v>
      </c>
      <c r="B16">
        <v>0.1</v>
      </c>
    </row>
    <row r="17" spans="1:2" x14ac:dyDescent="0.25">
      <c r="A17" t="s">
        <v>41</v>
      </c>
      <c r="B17">
        <v>0.1</v>
      </c>
    </row>
    <row r="18" spans="1:2" x14ac:dyDescent="0.25">
      <c r="A18" t="s">
        <v>36</v>
      </c>
      <c r="B18">
        <v>0.1</v>
      </c>
    </row>
    <row r="19" spans="1:2" x14ac:dyDescent="0.25">
      <c r="A19" t="s">
        <v>69</v>
      </c>
      <c r="B19">
        <v>1</v>
      </c>
    </row>
    <row r="20" spans="1:2" x14ac:dyDescent="0.25">
      <c r="A20" t="s">
        <v>151</v>
      </c>
      <c r="B20">
        <v>0.3</v>
      </c>
    </row>
    <row r="21" spans="1:2" x14ac:dyDescent="0.25">
      <c r="A21" t="s">
        <v>230</v>
      </c>
      <c r="B21">
        <v>0.1</v>
      </c>
    </row>
    <row r="22" spans="1:2" x14ac:dyDescent="0.25">
      <c r="A22" t="s">
        <v>71</v>
      </c>
      <c r="B22">
        <v>1.5</v>
      </c>
    </row>
    <row r="23" spans="1:2" x14ac:dyDescent="0.25">
      <c r="A23" t="s">
        <v>72</v>
      </c>
      <c r="B23">
        <v>0.4</v>
      </c>
    </row>
    <row r="24" spans="1:2" x14ac:dyDescent="0.25">
      <c r="A24" t="s">
        <v>150</v>
      </c>
      <c r="B24">
        <v>1.8</v>
      </c>
    </row>
    <row r="25" spans="1:2" x14ac:dyDescent="0.25">
      <c r="A25" t="s">
        <v>237</v>
      </c>
      <c r="B25">
        <v>0.8</v>
      </c>
    </row>
    <row r="26" spans="1:2" x14ac:dyDescent="0.25">
      <c r="A26" t="s">
        <v>84</v>
      </c>
      <c r="B26">
        <v>1.8</v>
      </c>
    </row>
    <row r="27" spans="1:2" x14ac:dyDescent="0.25">
      <c r="A27" s="179" t="s">
        <v>20</v>
      </c>
      <c r="B27">
        <f ca="1">+OFFSET(_5JR,0,1)+OFFSET(RIK,0,1)</f>
        <v>0.9</v>
      </c>
    </row>
    <row r="28" spans="1:2" x14ac:dyDescent="0.25">
      <c r="A28" s="179" t="s">
        <v>9</v>
      </c>
      <c r="B28">
        <f ca="1">+OFFSET(SET,0,1)+OFFSET(RIK,0,1)+OFFSET(_5JR,0,1)+OFFSET(S3I,0,1)</f>
        <v>4.2</v>
      </c>
    </row>
    <row r="29" spans="1:2" x14ac:dyDescent="0.25">
      <c r="A29" s="179" t="s">
        <v>49</v>
      </c>
      <c r="B29">
        <f ca="1">+OFFSET(CAV,0,1)+OFFSET(RIA,0,1)</f>
        <v>0.2</v>
      </c>
    </row>
    <row r="30" spans="1:2" x14ac:dyDescent="0.25">
      <c r="A30" s="179" t="s">
        <v>33</v>
      </c>
      <c r="B30">
        <f ca="1">+OFFSET(CAV,0,1)+OFFSET(VAV,0,1)</f>
        <v>0.2</v>
      </c>
    </row>
    <row r="31" spans="1:2" x14ac:dyDescent="0.25">
      <c r="A31" s="179" t="s">
        <v>19</v>
      </c>
      <c r="B31">
        <f ca="1">+OFFSET(SET,0,1)+OFFSET(_sf9,0,1)</f>
        <v>1.9000000000000001</v>
      </c>
    </row>
    <row r="32" spans="1:2" x14ac:dyDescent="0.25">
      <c r="A32" s="179" t="s">
        <v>74</v>
      </c>
      <c r="B32">
        <f ca="1">+OFFSET(SET,0,1)+OFFSET(_sf9,0,1)+OFFSET(RIK,0,1)+OFFSET(S3I,0,1)</f>
        <v>3.5</v>
      </c>
    </row>
    <row r="33" spans="1:2" x14ac:dyDescent="0.25">
      <c r="A33" s="179" t="s">
        <v>149</v>
      </c>
      <c r="B33">
        <f ca="1">+OFFSET(SET,0,1)+OFFSET(_sf9,0,1)</f>
        <v>1.9000000000000001</v>
      </c>
    </row>
    <row r="34" spans="1:2" x14ac:dyDescent="0.25">
      <c r="A34" s="179" t="s">
        <v>131</v>
      </c>
      <c r="B34">
        <f ca="1">+OFFSET(_5JR,0,1)+OFFSET(RIK,0,1)</f>
        <v>0.9</v>
      </c>
    </row>
    <row r="35" spans="1:2" x14ac:dyDescent="0.25">
      <c r="A35" s="179" t="s">
        <v>11</v>
      </c>
      <c r="B35">
        <f ca="1">+OFFSET(SFR,0,1)++OFFSET(S3I,0,1)</f>
        <v>2.2999999999999998</v>
      </c>
    </row>
    <row r="36" spans="1:2" x14ac:dyDescent="0.25">
      <c r="A36" s="179" t="s">
        <v>26</v>
      </c>
      <c r="B36">
        <f ca="1">+OFFSET(VYW,0,1)+OFFSET(W0A,0,1)</f>
        <v>0.2</v>
      </c>
    </row>
    <row r="37" spans="1:2" x14ac:dyDescent="0.25">
      <c r="A37" s="224" t="s">
        <v>238</v>
      </c>
      <c r="B37">
        <v>0.1</v>
      </c>
    </row>
    <row r="38" spans="1:2" x14ac:dyDescent="0.25">
      <c r="A38" s="113" t="s">
        <v>15</v>
      </c>
      <c r="B38">
        <v>0.1</v>
      </c>
    </row>
    <row r="39" spans="1:2" x14ac:dyDescent="0.25">
      <c r="A39" s="113" t="s">
        <v>39</v>
      </c>
      <c r="B39">
        <v>0.1</v>
      </c>
    </row>
    <row r="40" spans="1:2" x14ac:dyDescent="0.25">
      <c r="A40" s="113"/>
    </row>
  </sheetData>
  <sortState xmlns:xlrd2="http://schemas.microsoft.com/office/spreadsheetml/2017/richdata2" ref="A1:B28">
    <sortCondition ref="A1:A28"/>
  </sortState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>
    <tabColor theme="1"/>
    <pageSetUpPr fitToPage="1"/>
  </sheetPr>
  <dimension ref="A1:P32"/>
  <sheetViews>
    <sheetView zoomScaleNormal="100" zoomScaleSheetLayoutView="120" workbookViewId="0">
      <pane xSplit="9" ySplit="4" topLeftCell="J5" activePane="bottomRight" state="frozen"/>
      <selection activeCell="U50" sqref="U50"/>
      <selection pane="topRight" activeCell="U50" sqref="U50"/>
      <selection pane="bottomLeft" activeCell="U50" sqref="U50"/>
      <selection pane="bottomRight" activeCell="G22" sqref="G22:I32"/>
    </sheetView>
  </sheetViews>
  <sheetFormatPr defaultRowHeight="15" x14ac:dyDescent="0.25"/>
  <cols>
    <col min="1" max="1" width="8.7109375" customWidth="1"/>
    <col min="2" max="2" width="56.85546875" style="5" bestFit="1" customWidth="1"/>
    <col min="3" max="4" width="12.7109375" style="1" customWidth="1"/>
    <col min="5" max="5" width="12.7109375" style="18" customWidth="1"/>
    <col min="6" max="6" width="12.7109375" style="10" customWidth="1"/>
    <col min="7" max="7" width="12.7109375" style="18" customWidth="1"/>
    <col min="8" max="8" width="12.7109375" style="17" customWidth="1"/>
    <col min="9" max="9" width="12.7109375" style="2" customWidth="1"/>
    <col min="10" max="10" width="10" bestFit="1" customWidth="1"/>
    <col min="11" max="11" width="21.42578125" bestFit="1" customWidth="1"/>
  </cols>
  <sheetData>
    <row r="1" spans="1:9" ht="24" thickBot="1" x14ac:dyDescent="0.3">
      <c r="A1" s="263" t="s">
        <v>155</v>
      </c>
      <c r="B1" s="264"/>
      <c r="C1" s="264"/>
      <c r="D1" s="264"/>
      <c r="E1" s="264"/>
      <c r="F1" s="264"/>
      <c r="G1" s="264"/>
      <c r="H1" s="264"/>
      <c r="I1" s="265"/>
    </row>
    <row r="2" spans="1:9" ht="12" customHeight="1" thickBot="1" x14ac:dyDescent="0.3">
      <c r="A2" s="47"/>
      <c r="B2" s="47"/>
      <c r="C2" s="48"/>
      <c r="D2" s="48"/>
      <c r="E2" s="48"/>
      <c r="F2" s="48"/>
      <c r="G2" s="48"/>
      <c r="H2" s="48"/>
      <c r="I2" s="49"/>
    </row>
    <row r="3" spans="1:9" ht="15.75" thickBot="1" x14ac:dyDescent="0.3">
      <c r="A3" s="53"/>
      <c r="B3" s="53"/>
      <c r="C3" s="270" t="s">
        <v>81</v>
      </c>
      <c r="D3" s="271"/>
      <c r="E3" s="272"/>
      <c r="F3" s="270" t="s">
        <v>82</v>
      </c>
      <c r="G3" s="272"/>
      <c r="H3" s="270" t="s">
        <v>83</v>
      </c>
      <c r="I3" s="272"/>
    </row>
    <row r="4" spans="1:9" ht="45.75" customHeight="1" x14ac:dyDescent="0.25">
      <c r="A4" s="32" t="s">
        <v>0</v>
      </c>
      <c r="B4" s="30" t="s">
        <v>1</v>
      </c>
      <c r="C4" s="66" t="s">
        <v>3</v>
      </c>
      <c r="D4" s="67" t="s">
        <v>4</v>
      </c>
      <c r="E4" s="119" t="s">
        <v>6</v>
      </c>
      <c r="F4" s="120" t="s">
        <v>2</v>
      </c>
      <c r="G4" s="121" t="s">
        <v>5</v>
      </c>
      <c r="H4" s="108" t="s">
        <v>7</v>
      </c>
      <c r="I4" s="122" t="s">
        <v>8</v>
      </c>
    </row>
    <row r="5" spans="1:9" ht="15.75" customHeight="1" x14ac:dyDescent="0.25">
      <c r="A5" s="152" t="s">
        <v>9</v>
      </c>
      <c r="B5" s="139" t="s">
        <v>265</v>
      </c>
      <c r="C5" s="102">
        <v>4322.5</v>
      </c>
      <c r="D5" s="102">
        <v>4750</v>
      </c>
      <c r="E5" s="127">
        <f t="shared" ref="E5:E18" si="0">D5-C5</f>
        <v>427.5</v>
      </c>
      <c r="F5" s="124">
        <f ca="1">_xlfn.XLOOKUP(A5,'CT5 Ref'!A:A,'CT5 Ref'!B:B,"")</f>
        <v>4.5</v>
      </c>
      <c r="G5" s="123">
        <f t="shared" ref="G5:G18" ca="1" si="1">(F5*Labor)*SvcGross</f>
        <v>590.625</v>
      </c>
      <c r="H5" s="128">
        <f t="shared" ref="H5:H18" ca="1" si="2">G5+E5</f>
        <v>1018.125</v>
      </c>
      <c r="I5" s="129">
        <f t="shared" ref="I5:I18" ca="1" si="3">H5/C5</f>
        <v>0.23554077501445922</v>
      </c>
    </row>
    <row r="6" spans="1:9" ht="15.75" customHeight="1" x14ac:dyDescent="0.25">
      <c r="A6" s="152" t="s">
        <v>33</v>
      </c>
      <c r="B6" s="139" t="s">
        <v>103</v>
      </c>
      <c r="C6" s="102">
        <v>318.5</v>
      </c>
      <c r="D6" s="102">
        <v>350</v>
      </c>
      <c r="E6" s="127">
        <f t="shared" si="0"/>
        <v>31.5</v>
      </c>
      <c r="F6" s="124">
        <f ca="1">_xlfn.XLOOKUP(A6,'CT5 Ref'!A:A,'CT5 Ref'!B:B,"")</f>
        <v>0.2</v>
      </c>
      <c r="G6" s="123">
        <f t="shared" ca="1" si="1"/>
        <v>26.25</v>
      </c>
      <c r="H6" s="128">
        <f t="shared" ca="1" si="2"/>
        <v>57.75</v>
      </c>
      <c r="I6" s="129">
        <f t="shared" ca="1" si="3"/>
        <v>0.18131868131868131</v>
      </c>
    </row>
    <row r="7" spans="1:9" ht="15.75" customHeight="1" x14ac:dyDescent="0.25">
      <c r="A7" s="152" t="s">
        <v>19</v>
      </c>
      <c r="B7" s="139" t="s">
        <v>266</v>
      </c>
      <c r="C7" s="102">
        <v>3180.45</v>
      </c>
      <c r="D7" s="102">
        <v>3495</v>
      </c>
      <c r="E7" s="127">
        <f t="shared" si="0"/>
        <v>314.55000000000018</v>
      </c>
      <c r="F7" s="124">
        <f ca="1">_xlfn.XLOOKUP(A7,'CT5 Ref'!A:A,'CT5 Ref'!B:B,"")</f>
        <v>2.6</v>
      </c>
      <c r="G7" s="123">
        <f t="shared" ca="1" si="1"/>
        <v>341.25</v>
      </c>
      <c r="H7" s="128">
        <f t="shared" ca="1" si="2"/>
        <v>655.80000000000018</v>
      </c>
      <c r="I7" s="129">
        <f t="shared" ca="1" si="3"/>
        <v>0.20619723624015476</v>
      </c>
    </row>
    <row r="8" spans="1:9" ht="15.75" customHeight="1" x14ac:dyDescent="0.25">
      <c r="A8" s="152" t="s">
        <v>74</v>
      </c>
      <c r="B8" s="139" t="s">
        <v>267</v>
      </c>
      <c r="C8" s="102">
        <v>3180.45</v>
      </c>
      <c r="D8" s="102">
        <v>3495</v>
      </c>
      <c r="E8" s="127">
        <f t="shared" si="0"/>
        <v>314.55000000000018</v>
      </c>
      <c r="F8" s="124">
        <f ca="1">_xlfn.XLOOKUP(A8,'CT5 Ref'!A:A,'CT5 Ref'!B:B,"")</f>
        <v>2.6</v>
      </c>
      <c r="G8" s="123">
        <f t="shared" ca="1" si="1"/>
        <v>341.25</v>
      </c>
      <c r="H8" s="128">
        <f t="shared" ca="1" si="2"/>
        <v>655.80000000000018</v>
      </c>
      <c r="I8" s="129">
        <f t="shared" ca="1" si="3"/>
        <v>0.20619723624015476</v>
      </c>
    </row>
    <row r="9" spans="1:9" ht="15.75" customHeight="1" x14ac:dyDescent="0.25">
      <c r="A9" s="152" t="s">
        <v>149</v>
      </c>
      <c r="B9" s="139" t="s">
        <v>268</v>
      </c>
      <c r="C9" s="102">
        <v>3180.45</v>
      </c>
      <c r="D9" s="102">
        <v>3495</v>
      </c>
      <c r="E9" s="127">
        <f t="shared" si="0"/>
        <v>314.55000000000018</v>
      </c>
      <c r="F9" s="124">
        <f ca="1">_xlfn.XLOOKUP(A9,'CT5 Ref'!A:A,'CT5 Ref'!B:B,"")</f>
        <v>2.6</v>
      </c>
      <c r="G9" s="123">
        <f t="shared" ca="1" si="1"/>
        <v>341.25</v>
      </c>
      <c r="H9" s="128">
        <f t="shared" ca="1" si="2"/>
        <v>655.80000000000018</v>
      </c>
      <c r="I9" s="129">
        <f t="shared" ca="1" si="3"/>
        <v>0.20619723624015476</v>
      </c>
    </row>
    <row r="10" spans="1:9" ht="15.75" customHeight="1" x14ac:dyDescent="0.25">
      <c r="A10" s="152" t="s">
        <v>163</v>
      </c>
      <c r="B10" s="139" t="s">
        <v>269</v>
      </c>
      <c r="C10" s="102">
        <v>3139.5</v>
      </c>
      <c r="D10" s="102">
        <v>3450</v>
      </c>
      <c r="E10" s="127">
        <f t="shared" si="0"/>
        <v>310.5</v>
      </c>
      <c r="F10" s="124">
        <f ca="1">_xlfn.XLOOKUP(A10,'CT5 Ref'!A:A,'CT5 Ref'!B:B,"")</f>
        <v>1.3</v>
      </c>
      <c r="G10" s="123">
        <f t="shared" ca="1" si="1"/>
        <v>170.625</v>
      </c>
      <c r="H10" s="128">
        <f t="shared" ca="1" si="2"/>
        <v>481.125</v>
      </c>
      <c r="I10" s="129">
        <f t="shared" ca="1" si="3"/>
        <v>0.15324892498805542</v>
      </c>
    </row>
    <row r="11" spans="1:9" ht="15.75" customHeight="1" x14ac:dyDescent="0.25">
      <c r="A11" s="152" t="s">
        <v>11</v>
      </c>
      <c r="B11" s="139" t="s">
        <v>270</v>
      </c>
      <c r="C11" s="102">
        <v>3230.5</v>
      </c>
      <c r="D11" s="102">
        <v>3550</v>
      </c>
      <c r="E11" s="127">
        <f t="shared" si="0"/>
        <v>319.5</v>
      </c>
      <c r="F11" s="124">
        <f ca="1">_xlfn.XLOOKUP(A11,'CT5 Ref'!A:A,'CT5 Ref'!B:B,"")</f>
        <v>3.3</v>
      </c>
      <c r="G11" s="123">
        <f t="shared" ca="1" si="1"/>
        <v>433.125</v>
      </c>
      <c r="H11" s="128">
        <f t="shared" ca="1" si="2"/>
        <v>752.625</v>
      </c>
      <c r="I11" s="129">
        <f t="shared" ca="1" si="3"/>
        <v>0.23297477170716607</v>
      </c>
    </row>
    <row r="12" spans="1:9" ht="15.75" customHeight="1" x14ac:dyDescent="0.25">
      <c r="A12" s="50" t="s">
        <v>156</v>
      </c>
      <c r="B12" s="109" t="s">
        <v>157</v>
      </c>
      <c r="C12" s="144">
        <v>177.45</v>
      </c>
      <c r="D12" s="144">
        <v>195</v>
      </c>
      <c r="E12" s="123">
        <f>D12-C12</f>
        <v>17.550000000000011</v>
      </c>
      <c r="F12" s="124">
        <f>_xlfn.XLOOKUP(A12,'CT5 Ref'!A:A,'CT5 Ref'!B:B,"")</f>
        <v>0.5</v>
      </c>
      <c r="G12" s="123">
        <f>(F12*Labor)*SvcGross</f>
        <v>65.625</v>
      </c>
      <c r="H12" s="125">
        <f>G12+E12</f>
        <v>83.175000000000011</v>
      </c>
      <c r="I12" s="126">
        <f>H12/C12</f>
        <v>0.46872358410819959</v>
      </c>
    </row>
    <row r="13" spans="1:9" ht="15.75" customHeight="1" x14ac:dyDescent="0.25">
      <c r="A13" s="50" t="s">
        <v>66</v>
      </c>
      <c r="B13" s="109" t="s">
        <v>158</v>
      </c>
      <c r="C13" s="144">
        <v>614.25</v>
      </c>
      <c r="D13" s="144">
        <v>675</v>
      </c>
      <c r="E13" s="123">
        <f>D13-C13</f>
        <v>60.75</v>
      </c>
      <c r="F13" s="124">
        <f>_xlfn.XLOOKUP(A13,'CT5 Ref'!A:A,'CT5 Ref'!B:B,"")</f>
        <v>0.5</v>
      </c>
      <c r="G13" s="123">
        <f>(F13*Labor)*SvcGross</f>
        <v>65.625</v>
      </c>
      <c r="H13" s="125">
        <f>G13+E13</f>
        <v>126.375</v>
      </c>
      <c r="I13" s="126">
        <f>H13/C13</f>
        <v>0.20573870573870573</v>
      </c>
    </row>
    <row r="14" spans="1:9" ht="15.75" customHeight="1" x14ac:dyDescent="0.25">
      <c r="A14" s="50" t="s">
        <v>159</v>
      </c>
      <c r="B14" s="109" t="s">
        <v>160</v>
      </c>
      <c r="C14" s="144">
        <v>177.45</v>
      </c>
      <c r="D14" s="144">
        <v>195</v>
      </c>
      <c r="E14" s="123">
        <f>D14-C14</f>
        <v>17.550000000000011</v>
      </c>
      <c r="F14" s="124">
        <f>_xlfn.XLOOKUP(A14,'CT5 Ref'!A:A,'CT5 Ref'!B:B,"")</f>
        <v>0.1</v>
      </c>
      <c r="G14" s="123">
        <f>(F14*Labor)*SvcGross</f>
        <v>13.125</v>
      </c>
      <c r="H14" s="125">
        <f>G14+E14</f>
        <v>30.675000000000011</v>
      </c>
      <c r="I14" s="126">
        <f>H14/C14</f>
        <v>0.1728655959425191</v>
      </c>
    </row>
    <row r="15" spans="1:9" ht="15.75" customHeight="1" x14ac:dyDescent="0.25">
      <c r="A15" s="50" t="s">
        <v>161</v>
      </c>
      <c r="B15" s="109" t="s">
        <v>162</v>
      </c>
      <c r="C15" s="144">
        <v>723.45</v>
      </c>
      <c r="D15" s="144">
        <v>795</v>
      </c>
      <c r="E15" s="127">
        <f>D15-C15</f>
        <v>71.549999999999955</v>
      </c>
      <c r="F15" s="124">
        <f>_xlfn.XLOOKUP(A15,'CT5 Ref'!A:A,'CT5 Ref'!B:B,"")</f>
        <v>1.5</v>
      </c>
      <c r="G15" s="123">
        <f>(F15*Labor)*SvcGross</f>
        <v>196.875</v>
      </c>
      <c r="H15" s="128">
        <f>G15+E15</f>
        <v>268.42499999999995</v>
      </c>
      <c r="I15" s="129">
        <f>H15/C15</f>
        <v>0.37103462575160678</v>
      </c>
    </row>
    <row r="16" spans="1:9" x14ac:dyDescent="0.25">
      <c r="A16" s="50" t="s">
        <v>17</v>
      </c>
      <c r="B16" s="109" t="s">
        <v>164</v>
      </c>
      <c r="C16" s="144">
        <v>268.45</v>
      </c>
      <c r="D16" s="144">
        <v>295</v>
      </c>
      <c r="E16" s="127">
        <f t="shared" si="0"/>
        <v>26.550000000000011</v>
      </c>
      <c r="F16" s="124">
        <f>_xlfn.XLOOKUP(A16,'CT5 Ref'!A:A,'CT5 Ref'!B:B,"")</f>
        <v>0.4</v>
      </c>
      <c r="G16" s="123">
        <f t="shared" si="1"/>
        <v>52.5</v>
      </c>
      <c r="H16" s="128">
        <f t="shared" si="2"/>
        <v>79.050000000000011</v>
      </c>
      <c r="I16" s="129">
        <f t="shared" si="3"/>
        <v>0.29446824362078605</v>
      </c>
    </row>
    <row r="17" spans="1:16" x14ac:dyDescent="0.25">
      <c r="A17" s="50" t="s">
        <v>44</v>
      </c>
      <c r="B17" s="109" t="s">
        <v>165</v>
      </c>
      <c r="C17" s="144">
        <v>159.25</v>
      </c>
      <c r="D17" s="144">
        <v>175</v>
      </c>
      <c r="E17" s="127">
        <f t="shared" si="0"/>
        <v>15.75</v>
      </c>
      <c r="F17" s="124">
        <f>_xlfn.XLOOKUP(A17,'CT5 Ref'!A:A,'CT5 Ref'!B:B,"")</f>
        <v>0.1</v>
      </c>
      <c r="G17" s="123">
        <f t="shared" si="1"/>
        <v>13.125</v>
      </c>
      <c r="H17" s="128">
        <f t="shared" si="2"/>
        <v>28.875</v>
      </c>
      <c r="I17" s="129">
        <f t="shared" si="3"/>
        <v>0.18131868131868131</v>
      </c>
    </row>
    <row r="18" spans="1:16" x14ac:dyDescent="0.25">
      <c r="A18" s="50" t="s">
        <v>35</v>
      </c>
      <c r="B18" s="109" t="s">
        <v>166</v>
      </c>
      <c r="C18" s="144">
        <v>50.05</v>
      </c>
      <c r="D18" s="144">
        <v>55</v>
      </c>
      <c r="E18" s="127">
        <f t="shared" si="0"/>
        <v>4.9500000000000028</v>
      </c>
      <c r="F18" s="124">
        <f>_xlfn.XLOOKUP(A18,'CT5 Ref'!A:A,'CT5 Ref'!B:B,"")</f>
        <v>0.1</v>
      </c>
      <c r="G18" s="123">
        <f t="shared" si="1"/>
        <v>13.125</v>
      </c>
      <c r="H18" s="128">
        <f t="shared" si="2"/>
        <v>18.075000000000003</v>
      </c>
      <c r="I18" s="129">
        <f t="shared" si="3"/>
        <v>0.36113886113886123</v>
      </c>
      <c r="P18" t="s">
        <v>29</v>
      </c>
    </row>
    <row r="19" spans="1:16" x14ac:dyDescent="0.25">
      <c r="A19" s="50" t="s">
        <v>36</v>
      </c>
      <c r="B19" s="109" t="s">
        <v>51</v>
      </c>
      <c r="C19" s="144">
        <v>159.25</v>
      </c>
      <c r="D19" s="144">
        <v>175</v>
      </c>
      <c r="E19" s="127">
        <f t="shared" ref="E19:E32" si="4">D19-C19</f>
        <v>15.75</v>
      </c>
      <c r="F19" s="124">
        <f>_xlfn.XLOOKUP(A19,'CT5 Ref'!A:A,'CT5 Ref'!B:B,"")</f>
        <v>0.1</v>
      </c>
      <c r="G19" s="123">
        <f t="shared" ref="G19:G22" si="5">(F19*Labor)*SvcGross</f>
        <v>13.125</v>
      </c>
      <c r="H19" s="128">
        <f t="shared" ref="H19:H22" si="6">G19+E19</f>
        <v>28.875</v>
      </c>
      <c r="I19" s="129">
        <f t="shared" ref="I19:I22" si="7">H19/C19</f>
        <v>0.18131868131868131</v>
      </c>
    </row>
    <row r="20" spans="1:16" x14ac:dyDescent="0.25">
      <c r="A20" s="50" t="s">
        <v>167</v>
      </c>
      <c r="B20" s="109" t="s">
        <v>168</v>
      </c>
      <c r="C20" s="144">
        <v>1023.75</v>
      </c>
      <c r="D20" s="144">
        <v>1125</v>
      </c>
      <c r="E20" s="127">
        <f t="shared" si="4"/>
        <v>101.25</v>
      </c>
      <c r="F20" s="124">
        <f>_xlfn.XLOOKUP(A20,'CT5 Ref'!A:A,'CT5 Ref'!B:B,"")</f>
        <v>1.4</v>
      </c>
      <c r="G20" s="123">
        <f t="shared" si="5"/>
        <v>183.74999999999997</v>
      </c>
      <c r="H20" s="128">
        <f t="shared" si="6"/>
        <v>285</v>
      </c>
      <c r="I20" s="129">
        <f t="shared" si="7"/>
        <v>0.2783882783882784</v>
      </c>
    </row>
    <row r="21" spans="1:16" x14ac:dyDescent="0.25">
      <c r="A21" s="50" t="s">
        <v>169</v>
      </c>
      <c r="B21" s="109" t="s">
        <v>170</v>
      </c>
      <c r="C21" s="144">
        <v>177.45</v>
      </c>
      <c r="D21" s="144">
        <v>195</v>
      </c>
      <c r="E21" s="127">
        <f t="shared" si="4"/>
        <v>17.550000000000011</v>
      </c>
      <c r="F21" s="124">
        <f>_xlfn.XLOOKUP(A21,'CT5 Ref'!A:A,'CT5 Ref'!B:B,"")</f>
        <v>0.1</v>
      </c>
      <c r="G21" s="123">
        <f t="shared" si="5"/>
        <v>13.125</v>
      </c>
      <c r="H21" s="128">
        <f t="shared" si="6"/>
        <v>30.675000000000011</v>
      </c>
      <c r="I21" s="129">
        <f t="shared" si="7"/>
        <v>0.1728655959425191</v>
      </c>
    </row>
    <row r="22" spans="1:16" x14ac:dyDescent="0.25">
      <c r="A22" s="50" t="s">
        <v>63</v>
      </c>
      <c r="B22" s="109" t="s">
        <v>171</v>
      </c>
      <c r="C22" s="144">
        <v>250.25</v>
      </c>
      <c r="D22" s="144">
        <v>275</v>
      </c>
      <c r="E22" s="127">
        <f t="shared" si="4"/>
        <v>24.75</v>
      </c>
      <c r="F22" s="124">
        <f>_xlfn.XLOOKUP(A22,'CT5 Ref'!A:A,'CT5 Ref'!B:B,"")</f>
        <v>0.2</v>
      </c>
      <c r="G22" s="123">
        <f t="shared" si="5"/>
        <v>26.25</v>
      </c>
      <c r="H22" s="128">
        <f t="shared" si="6"/>
        <v>51</v>
      </c>
      <c r="I22" s="129">
        <f t="shared" si="7"/>
        <v>0.20379620379620381</v>
      </c>
    </row>
    <row r="23" spans="1:16" x14ac:dyDescent="0.25">
      <c r="A23" s="50" t="s">
        <v>53</v>
      </c>
      <c r="B23" s="109" t="s">
        <v>172</v>
      </c>
      <c r="C23" s="144">
        <v>118.3</v>
      </c>
      <c r="D23" s="144">
        <v>130</v>
      </c>
      <c r="E23" s="127">
        <f t="shared" si="4"/>
        <v>11.700000000000003</v>
      </c>
      <c r="F23" s="124">
        <f>_xlfn.XLOOKUP(A23,'CT5 Ref'!A:A,'CT5 Ref'!B:B,"")</f>
        <v>0.1</v>
      </c>
      <c r="G23" s="123">
        <f t="shared" ref="G23:G32" si="8">(F23*Labor)*SvcGross</f>
        <v>13.125</v>
      </c>
      <c r="H23" s="128">
        <f t="shared" ref="H23:H32" si="9">G23+E23</f>
        <v>24.825000000000003</v>
      </c>
      <c r="I23" s="129">
        <f t="shared" ref="I23:I32" si="10">H23/C23</f>
        <v>0.2098478444632291</v>
      </c>
    </row>
    <row r="24" spans="1:16" x14ac:dyDescent="0.25">
      <c r="A24" s="50" t="s">
        <v>173</v>
      </c>
      <c r="B24" s="109" t="s">
        <v>174</v>
      </c>
      <c r="C24" s="144">
        <v>113.75</v>
      </c>
      <c r="D24" s="144">
        <v>125</v>
      </c>
      <c r="E24" s="127">
        <f t="shared" si="4"/>
        <v>11.25</v>
      </c>
      <c r="F24" s="124">
        <f>_xlfn.XLOOKUP(A24,'CT5 Ref'!A:A,'CT5 Ref'!B:B,"")</f>
        <v>0.1</v>
      </c>
      <c r="G24" s="123">
        <f t="shared" si="8"/>
        <v>13.125</v>
      </c>
      <c r="H24" s="128">
        <f t="shared" si="9"/>
        <v>24.375</v>
      </c>
      <c r="I24" s="129">
        <f t="shared" si="10"/>
        <v>0.21428571428571427</v>
      </c>
    </row>
    <row r="25" spans="1:16" ht="28.5" x14ac:dyDescent="0.25">
      <c r="A25" s="50" t="s">
        <v>175</v>
      </c>
      <c r="B25" s="109" t="s">
        <v>176</v>
      </c>
      <c r="C25" s="144">
        <v>2725.45</v>
      </c>
      <c r="D25" s="144">
        <v>2995</v>
      </c>
      <c r="E25" s="127">
        <f t="shared" si="4"/>
        <v>269.55000000000018</v>
      </c>
      <c r="F25" s="124">
        <f>_xlfn.XLOOKUP(A25,'CT5 Ref'!A:A,'CT5 Ref'!B:B,"")</f>
        <v>0.8</v>
      </c>
      <c r="G25" s="123">
        <f t="shared" si="8"/>
        <v>105</v>
      </c>
      <c r="H25" s="128">
        <f t="shared" si="9"/>
        <v>374.55000000000018</v>
      </c>
      <c r="I25" s="129">
        <f t="shared" si="10"/>
        <v>0.13742684694270679</v>
      </c>
    </row>
    <row r="26" spans="1:16" x14ac:dyDescent="0.25">
      <c r="A26" s="50" t="s">
        <v>177</v>
      </c>
      <c r="B26" s="109" t="s">
        <v>178</v>
      </c>
      <c r="C26" s="144">
        <v>2543.4499999999998</v>
      </c>
      <c r="D26" s="144">
        <v>2795</v>
      </c>
      <c r="E26" s="127">
        <f t="shared" si="4"/>
        <v>251.55000000000018</v>
      </c>
      <c r="F26" s="124">
        <f>_xlfn.XLOOKUP(A26,'CT5 Ref'!A:A,'CT5 Ref'!B:B,"")</f>
        <v>0.8</v>
      </c>
      <c r="G26" s="123">
        <f t="shared" si="8"/>
        <v>105</v>
      </c>
      <c r="H26" s="128">
        <f t="shared" si="9"/>
        <v>356.55000000000018</v>
      </c>
      <c r="I26" s="129">
        <f t="shared" si="10"/>
        <v>0.14018360887770556</v>
      </c>
    </row>
    <row r="27" spans="1:16" x14ac:dyDescent="0.25">
      <c r="A27" s="50" t="s">
        <v>179</v>
      </c>
      <c r="B27" s="109" t="s">
        <v>180</v>
      </c>
      <c r="C27" s="144">
        <v>773.5</v>
      </c>
      <c r="D27" s="144">
        <v>850</v>
      </c>
      <c r="E27" s="127">
        <f t="shared" si="4"/>
        <v>76.5</v>
      </c>
      <c r="F27" s="124">
        <f>_xlfn.XLOOKUP(A27,'CT5 Ref'!A:A,'CT5 Ref'!B:B,"")</f>
        <v>2.5</v>
      </c>
      <c r="G27" s="123">
        <f t="shared" si="8"/>
        <v>328.125</v>
      </c>
      <c r="H27" s="128">
        <f t="shared" si="9"/>
        <v>404.625</v>
      </c>
      <c r="I27" s="129">
        <f t="shared" si="10"/>
        <v>0.52310924369747902</v>
      </c>
    </row>
    <row r="28" spans="1:16" x14ac:dyDescent="0.25">
      <c r="A28" s="50" t="s">
        <v>37</v>
      </c>
      <c r="B28" s="109" t="s">
        <v>181</v>
      </c>
      <c r="C28" s="144">
        <v>218.4</v>
      </c>
      <c r="D28" s="144">
        <v>240</v>
      </c>
      <c r="E28" s="127">
        <f t="shared" si="4"/>
        <v>21.599999999999994</v>
      </c>
      <c r="F28" s="124">
        <f>_xlfn.XLOOKUP(A28,'CT5 Ref'!A:A,'CT5 Ref'!B:B,"")</f>
        <v>0.1</v>
      </c>
      <c r="G28" s="123">
        <f t="shared" si="8"/>
        <v>13.125</v>
      </c>
      <c r="H28" s="128">
        <f t="shared" si="9"/>
        <v>34.724999999999994</v>
      </c>
      <c r="I28" s="129">
        <f t="shared" si="10"/>
        <v>0.15899725274725271</v>
      </c>
    </row>
    <row r="29" spans="1:16" x14ac:dyDescent="0.25">
      <c r="A29" s="50" t="s">
        <v>38</v>
      </c>
      <c r="B29" s="109" t="s">
        <v>182</v>
      </c>
      <c r="C29" s="144">
        <v>136.5</v>
      </c>
      <c r="D29" s="144">
        <v>150</v>
      </c>
      <c r="E29" s="127">
        <f t="shared" si="4"/>
        <v>13.5</v>
      </c>
      <c r="F29" s="124">
        <f>_xlfn.XLOOKUP(A29,'CT5 Ref'!A:A,'CT5 Ref'!B:B,"")</f>
        <v>0.1</v>
      </c>
      <c r="G29" s="123">
        <f t="shared" si="8"/>
        <v>13.125</v>
      </c>
      <c r="H29" s="128">
        <f t="shared" si="9"/>
        <v>26.625</v>
      </c>
      <c r="I29" s="129">
        <f t="shared" si="10"/>
        <v>0.19505494505494506</v>
      </c>
    </row>
    <row r="30" spans="1:16" x14ac:dyDescent="0.25">
      <c r="A30" s="50" t="s">
        <v>23</v>
      </c>
      <c r="B30" s="109" t="s">
        <v>183</v>
      </c>
      <c r="C30" s="144">
        <v>386.75</v>
      </c>
      <c r="D30" s="144">
        <v>425</v>
      </c>
      <c r="E30" s="127">
        <f t="shared" si="4"/>
        <v>38.25</v>
      </c>
      <c r="F30" s="124">
        <f>_xlfn.XLOOKUP(A30,'CT5 Ref'!A:A,'CT5 Ref'!B:B,"")</f>
        <v>1</v>
      </c>
      <c r="G30" s="123">
        <f t="shared" si="8"/>
        <v>131.25</v>
      </c>
      <c r="H30" s="128">
        <f t="shared" si="9"/>
        <v>169.5</v>
      </c>
      <c r="I30" s="129">
        <f t="shared" si="10"/>
        <v>0.43826761473820297</v>
      </c>
    </row>
    <row r="31" spans="1:16" x14ac:dyDescent="0.25">
      <c r="A31" s="50" t="s">
        <v>46</v>
      </c>
      <c r="B31" s="109" t="s">
        <v>184</v>
      </c>
      <c r="C31" s="144">
        <v>218.4</v>
      </c>
      <c r="D31" s="144">
        <v>240</v>
      </c>
      <c r="E31" s="127">
        <f t="shared" si="4"/>
        <v>21.599999999999994</v>
      </c>
      <c r="F31" s="124">
        <f>_xlfn.XLOOKUP(A31,'CT5 Ref'!A:A,'CT5 Ref'!B:B,"")</f>
        <v>0.1</v>
      </c>
      <c r="G31" s="123">
        <f t="shared" si="8"/>
        <v>13.125</v>
      </c>
      <c r="H31" s="128">
        <f t="shared" si="9"/>
        <v>34.724999999999994</v>
      </c>
      <c r="I31" s="129">
        <f t="shared" si="10"/>
        <v>0.15899725274725271</v>
      </c>
    </row>
    <row r="32" spans="1:16" x14ac:dyDescent="0.25">
      <c r="A32" s="50" t="s">
        <v>41</v>
      </c>
      <c r="B32" s="109" t="s">
        <v>42</v>
      </c>
      <c r="C32" s="144">
        <v>86.45</v>
      </c>
      <c r="D32" s="144">
        <v>95</v>
      </c>
      <c r="E32" s="127">
        <f t="shared" si="4"/>
        <v>8.5499999999999972</v>
      </c>
      <c r="F32" s="124">
        <f>_xlfn.XLOOKUP(A32,'CT5 Ref'!A:A,'CT5 Ref'!B:B,"")</f>
        <v>0.1</v>
      </c>
      <c r="G32" s="123">
        <f t="shared" si="8"/>
        <v>13.125</v>
      </c>
      <c r="H32" s="128">
        <f t="shared" si="9"/>
        <v>21.674999999999997</v>
      </c>
      <c r="I32" s="129">
        <f t="shared" si="10"/>
        <v>0.25072296124927701</v>
      </c>
    </row>
  </sheetData>
  <autoFilter ref="A4:I4" xr:uid="{00000000-0001-0000-0300-000000000000}"/>
  <sortState xmlns:xlrd2="http://schemas.microsoft.com/office/spreadsheetml/2017/richdata2" ref="A12:I13">
    <sortCondition descending="1" ref="I12:I13"/>
  </sortState>
  <mergeCells count="4">
    <mergeCell ref="A1:I1"/>
    <mergeCell ref="C3:E3"/>
    <mergeCell ref="F3:G3"/>
    <mergeCell ref="H3:I3"/>
  </mergeCells>
  <printOptions horizontalCentered="1"/>
  <pageMargins left="0.25" right="0.25" top="0.75" bottom="0.75" header="0.3" footer="0.3"/>
  <pageSetup scale="96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19FA2-276C-44F6-8F24-F9825CC8FD0C}">
  <sheetPr codeName="Sheet12">
    <tabColor theme="4" tint="-0.249977111117893"/>
  </sheetPr>
  <dimension ref="A1:B36"/>
  <sheetViews>
    <sheetView topLeftCell="A7" workbookViewId="0">
      <selection activeCell="U50" sqref="U50"/>
    </sheetView>
  </sheetViews>
  <sheetFormatPr defaultRowHeight="15" x14ac:dyDescent="0.25"/>
  <sheetData>
    <row r="1" spans="1:2" x14ac:dyDescent="0.25">
      <c r="A1" t="s">
        <v>159</v>
      </c>
      <c r="B1">
        <v>0.1</v>
      </c>
    </row>
    <row r="2" spans="1:2" x14ac:dyDescent="0.25">
      <c r="A2" t="s">
        <v>156</v>
      </c>
      <c r="B2">
        <v>0.5</v>
      </c>
    </row>
    <row r="3" spans="1:2" x14ac:dyDescent="0.25">
      <c r="A3" t="s">
        <v>50</v>
      </c>
      <c r="B3">
        <v>0.7</v>
      </c>
    </row>
    <row r="4" spans="1:2" x14ac:dyDescent="0.25">
      <c r="A4" t="s">
        <v>66</v>
      </c>
      <c r="B4">
        <v>0.5</v>
      </c>
    </row>
    <row r="5" spans="1:2" x14ac:dyDescent="0.25">
      <c r="A5" t="s">
        <v>161</v>
      </c>
      <c r="B5">
        <v>1.5</v>
      </c>
    </row>
    <row r="6" spans="1:2" x14ac:dyDescent="0.25">
      <c r="A6" t="s">
        <v>17</v>
      </c>
      <c r="B6">
        <v>0.4</v>
      </c>
    </row>
    <row r="7" spans="1:2" x14ac:dyDescent="0.25">
      <c r="A7" t="s">
        <v>239</v>
      </c>
      <c r="B7">
        <v>0.5</v>
      </c>
    </row>
    <row r="8" spans="1:2" x14ac:dyDescent="0.25">
      <c r="A8" t="s">
        <v>52</v>
      </c>
      <c r="B8">
        <v>0.8</v>
      </c>
    </row>
    <row r="9" spans="1:2" x14ac:dyDescent="0.25">
      <c r="A9" t="s">
        <v>167</v>
      </c>
      <c r="B9">
        <v>1.4</v>
      </c>
    </row>
    <row r="10" spans="1:2" x14ac:dyDescent="0.25">
      <c r="A10" t="s">
        <v>240</v>
      </c>
      <c r="B10">
        <v>0.8</v>
      </c>
    </row>
    <row r="11" spans="1:2" x14ac:dyDescent="0.25">
      <c r="A11" t="s">
        <v>179</v>
      </c>
      <c r="B11">
        <v>2.5</v>
      </c>
    </row>
    <row r="12" spans="1:2" x14ac:dyDescent="0.25">
      <c r="A12" t="s">
        <v>23</v>
      </c>
      <c r="B12">
        <v>1</v>
      </c>
    </row>
    <row r="13" spans="1:2" x14ac:dyDescent="0.25">
      <c r="A13" t="s">
        <v>46</v>
      </c>
      <c r="B13">
        <v>0.1</v>
      </c>
    </row>
    <row r="14" spans="1:2" x14ac:dyDescent="0.25">
      <c r="A14" t="s">
        <v>44</v>
      </c>
      <c r="B14">
        <v>0.1</v>
      </c>
    </row>
    <row r="15" spans="1:2" x14ac:dyDescent="0.25">
      <c r="A15" t="s">
        <v>169</v>
      </c>
      <c r="B15">
        <v>0.1</v>
      </c>
    </row>
    <row r="16" spans="1:2" x14ac:dyDescent="0.25">
      <c r="A16" t="s">
        <v>38</v>
      </c>
      <c r="B16">
        <v>0.1</v>
      </c>
    </row>
    <row r="17" spans="1:2" x14ac:dyDescent="0.25">
      <c r="A17" t="s">
        <v>41</v>
      </c>
      <c r="B17">
        <v>0.1</v>
      </c>
    </row>
    <row r="18" spans="1:2" x14ac:dyDescent="0.25">
      <c r="A18" t="s">
        <v>35</v>
      </c>
      <c r="B18">
        <v>0.1</v>
      </c>
    </row>
    <row r="19" spans="1:2" x14ac:dyDescent="0.25">
      <c r="A19" t="s">
        <v>36</v>
      </c>
      <c r="B19">
        <v>0.1</v>
      </c>
    </row>
    <row r="20" spans="1:2" x14ac:dyDescent="0.25">
      <c r="A20" t="s">
        <v>291</v>
      </c>
      <c r="B20">
        <v>0.8</v>
      </c>
    </row>
    <row r="21" spans="1:2" x14ac:dyDescent="0.25">
      <c r="A21" t="s">
        <v>56</v>
      </c>
      <c r="B21">
        <v>0.8</v>
      </c>
    </row>
    <row r="22" spans="1:2" x14ac:dyDescent="0.25">
      <c r="A22" t="s">
        <v>175</v>
      </c>
      <c r="B22">
        <v>0.8</v>
      </c>
    </row>
    <row r="23" spans="1:2" x14ac:dyDescent="0.25">
      <c r="A23" t="s">
        <v>292</v>
      </c>
      <c r="B23">
        <v>0.8</v>
      </c>
    </row>
    <row r="24" spans="1:2" x14ac:dyDescent="0.25">
      <c r="A24" t="s">
        <v>177</v>
      </c>
      <c r="B24">
        <v>0.8</v>
      </c>
    </row>
    <row r="25" spans="1:2" x14ac:dyDescent="0.25">
      <c r="A25" t="s">
        <v>63</v>
      </c>
      <c r="B25">
        <v>0.2</v>
      </c>
    </row>
    <row r="26" spans="1:2" x14ac:dyDescent="0.25">
      <c r="A26" t="s">
        <v>15</v>
      </c>
      <c r="B26">
        <v>0.1</v>
      </c>
    </row>
    <row r="27" spans="1:2" x14ac:dyDescent="0.25">
      <c r="A27" t="s">
        <v>53</v>
      </c>
      <c r="B27">
        <v>0.1</v>
      </c>
    </row>
    <row r="28" spans="1:2" x14ac:dyDescent="0.25">
      <c r="A28" t="s">
        <v>173</v>
      </c>
      <c r="B28">
        <v>0.1</v>
      </c>
    </row>
    <row r="29" spans="1:2" x14ac:dyDescent="0.25">
      <c r="A29" t="s">
        <v>37</v>
      </c>
      <c r="B29">
        <v>0.1</v>
      </c>
    </row>
    <row r="30" spans="1:2" x14ac:dyDescent="0.25">
      <c r="A30" s="179" t="s">
        <v>9</v>
      </c>
      <c r="B30" cm="1">
        <f t="array" aca="1" ref="B30" ca="1">+OFFSET(SSJ,0,1)+OFFSET(SPZ,0,1)+OFFSET(SPY,0,1)+OFFSET(RIK,0,1)+OFFSET(_5JS,0,1)+OFFSET(_5XR,0,1)+OFFSET(RXX,0,1)+OFFSET(_5V5,0,1)</f>
        <v>4.5</v>
      </c>
    </row>
    <row r="31" spans="1:2" x14ac:dyDescent="0.25">
      <c r="A31" s="179" t="s">
        <v>33</v>
      </c>
      <c r="B31">
        <f ca="1">+OFFSET(VAV,0,1)+OFFSET(VLI,0,1)</f>
        <v>0.2</v>
      </c>
    </row>
    <row r="32" spans="1:2" x14ac:dyDescent="0.25">
      <c r="A32" s="179" t="s">
        <v>19</v>
      </c>
      <c r="B32" cm="1">
        <f t="array" aca="1" ref="B32" ca="1">+OFFSET(skW,0,1)+OFFSET(SPY,0,1)+OFFSET(SPZ,0,1)+OFFSET(_5KB,0,1)+OFFSET(_SB9,0,1)</f>
        <v>2.6</v>
      </c>
    </row>
    <row r="33" spans="1:2" x14ac:dyDescent="0.25">
      <c r="A33" s="179" t="s">
        <v>74</v>
      </c>
      <c r="B33">
        <f ca="1">+OFFSET(SKX,0,1)+OFFSET(SPY,0,1)+OFFSET(SPZ,0,1)+OFFSET(_5KB,0,1)+OFFSET(_SB9,0,1)</f>
        <v>2.6</v>
      </c>
    </row>
    <row r="34" spans="1:2" x14ac:dyDescent="0.25">
      <c r="A34" s="179" t="s">
        <v>149</v>
      </c>
      <c r="B34" cm="1">
        <f t="array" aca="1" ref="B34" ca="1">+OFFSET(_sQ9,0,1)+OFFSET(SPY,0,1)+OFFSET(SPZ,0,1)+OFFSET(_5KB,0,1)+OFFSET(_SB9,0,1)</f>
        <v>2.6</v>
      </c>
    </row>
    <row r="35" spans="1:2" x14ac:dyDescent="0.25">
      <c r="A35" s="179" t="s">
        <v>163</v>
      </c>
      <c r="B35">
        <f ca="1">+OFFSET(SSE,0,1)+OFFSET(_5V5,0,1)</f>
        <v>1.3</v>
      </c>
    </row>
    <row r="36" spans="1:2" x14ac:dyDescent="0.25">
      <c r="A36" s="179" t="s">
        <v>11</v>
      </c>
      <c r="B36">
        <f ca="1">+OFFSET(SSE,0,1)+OFFSET(VAS,0,1)</f>
        <v>3.3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3">
    <tabColor theme="1"/>
    <pageSetUpPr fitToPage="1"/>
  </sheetPr>
  <dimension ref="A1:I34"/>
  <sheetViews>
    <sheetView zoomScaleNormal="100" zoomScaleSheetLayoutView="120" workbookViewId="0">
      <pane xSplit="9" ySplit="4" topLeftCell="J5" activePane="bottomRight" state="frozen"/>
      <selection activeCell="U50" sqref="U50"/>
      <selection pane="topRight" activeCell="U50" sqref="U50"/>
      <selection pane="bottomLeft" activeCell="U50" sqref="U50"/>
      <selection pane="bottomRight" activeCell="G22" sqref="G22:I34"/>
    </sheetView>
  </sheetViews>
  <sheetFormatPr defaultColWidth="8.85546875" defaultRowHeight="15" x14ac:dyDescent="0.25"/>
  <cols>
    <col min="1" max="1" width="8.7109375" style="5" customWidth="1"/>
    <col min="2" max="2" width="54.140625" style="11" bestFit="1" customWidth="1"/>
    <col min="3" max="9" width="12.7109375" style="5" customWidth="1"/>
    <col min="10" max="10" width="8.85546875" style="5"/>
    <col min="11" max="11" width="19.7109375" style="5" bestFit="1" customWidth="1"/>
    <col min="12" max="12" width="10.7109375" style="5" customWidth="1"/>
    <col min="13" max="16384" width="8.85546875" style="5"/>
  </cols>
  <sheetData>
    <row r="1" spans="1:9" ht="24" thickBot="1" x14ac:dyDescent="0.3">
      <c r="A1" s="263" t="s">
        <v>185</v>
      </c>
      <c r="B1" s="264"/>
      <c r="C1" s="264"/>
      <c r="D1" s="264"/>
      <c r="E1" s="264"/>
      <c r="F1" s="264"/>
      <c r="G1" s="264"/>
      <c r="H1" s="264"/>
      <c r="I1" s="265"/>
    </row>
    <row r="2" spans="1:9" ht="12" customHeight="1" thickBot="1" x14ac:dyDescent="0.3">
      <c r="A2" s="26"/>
      <c r="B2" s="26"/>
      <c r="C2" s="22"/>
      <c r="D2" s="22"/>
      <c r="E2" s="22"/>
      <c r="F2" s="22"/>
      <c r="G2" s="22"/>
      <c r="H2" s="22"/>
      <c r="I2" s="23"/>
    </row>
    <row r="3" spans="1:9" ht="15.75" thickBot="1" x14ac:dyDescent="0.3">
      <c r="A3" s="54"/>
      <c r="B3" s="54"/>
      <c r="C3" s="55" t="s">
        <v>81</v>
      </c>
      <c r="D3" s="29"/>
      <c r="E3" s="56"/>
      <c r="F3" s="55" t="s">
        <v>82</v>
      </c>
      <c r="G3" s="56"/>
      <c r="H3" s="55" t="s">
        <v>83</v>
      </c>
      <c r="I3" s="56"/>
    </row>
    <row r="4" spans="1:9" ht="45.75" customHeight="1" thickBot="1" x14ac:dyDescent="0.3">
      <c r="A4" s="32" t="s">
        <v>0</v>
      </c>
      <c r="B4" s="30" t="s">
        <v>1</v>
      </c>
      <c r="C4" s="66" t="s">
        <v>3</v>
      </c>
      <c r="D4" s="67" t="s">
        <v>4</v>
      </c>
      <c r="E4" s="36" t="s">
        <v>6</v>
      </c>
      <c r="F4" s="70" t="s">
        <v>2</v>
      </c>
      <c r="G4" s="37" t="s">
        <v>5</v>
      </c>
      <c r="H4" s="38" t="s">
        <v>7</v>
      </c>
      <c r="I4" s="25" t="s">
        <v>8</v>
      </c>
    </row>
    <row r="5" spans="1:9" ht="15.75" customHeight="1" thickBot="1" x14ac:dyDescent="0.3">
      <c r="A5" s="179" t="s">
        <v>9</v>
      </c>
      <c r="B5" s="225" t="s">
        <v>259</v>
      </c>
      <c r="C5" s="102">
        <v>3776.5</v>
      </c>
      <c r="D5" s="102">
        <v>4150</v>
      </c>
      <c r="E5" s="62">
        <f t="shared" ref="E5:E20" si="0">D5-C5</f>
        <v>373.5</v>
      </c>
      <c r="F5" s="71">
        <f ca="1">_xlfn.XLOOKUP(A5,'CT4 Ref'!A:A,'CT4 Ref'!B:B,"")</f>
        <v>4</v>
      </c>
      <c r="G5" s="61">
        <f t="shared" ref="G5:G20" ca="1" si="1">(F5*Labor)*SvcGross</f>
        <v>525</v>
      </c>
      <c r="H5" s="33">
        <f t="shared" ref="H5:H20" ca="1" si="2">G5+E5</f>
        <v>898.5</v>
      </c>
      <c r="I5" s="60">
        <f t="shared" ref="I5:I20" ca="1" si="3">H5/C5</f>
        <v>0.23791870779822588</v>
      </c>
    </row>
    <row r="6" spans="1:9" ht="15.75" customHeight="1" thickBot="1" x14ac:dyDescent="0.3">
      <c r="A6" s="179" t="s">
        <v>33</v>
      </c>
      <c r="B6" s="225" t="s">
        <v>103</v>
      </c>
      <c r="C6" s="102">
        <v>295.75</v>
      </c>
      <c r="D6" s="102">
        <v>325</v>
      </c>
      <c r="E6" s="130">
        <f t="shared" si="0"/>
        <v>29.25</v>
      </c>
      <c r="F6" s="71">
        <f ca="1">_xlfn.XLOOKUP(A6,'CT4 Ref'!A:A,'CT4 Ref'!B:B,"")</f>
        <v>0.2</v>
      </c>
      <c r="G6" s="61">
        <f t="shared" ca="1" si="1"/>
        <v>26.25</v>
      </c>
      <c r="H6" s="34">
        <f t="shared" ca="1" si="2"/>
        <v>55.5</v>
      </c>
      <c r="I6" s="115">
        <f t="shared" ca="1" si="3"/>
        <v>0.18765849535080303</v>
      </c>
    </row>
    <row r="7" spans="1:9" ht="15.75" customHeight="1" thickBot="1" x14ac:dyDescent="0.3">
      <c r="A7" s="179" t="s">
        <v>19</v>
      </c>
      <c r="B7" s="225" t="s">
        <v>260</v>
      </c>
      <c r="C7" s="102">
        <v>3230.5</v>
      </c>
      <c r="D7" s="102">
        <v>3550</v>
      </c>
      <c r="E7" s="130">
        <f t="shared" si="0"/>
        <v>319.5</v>
      </c>
      <c r="F7" s="71">
        <f ca="1">_xlfn.XLOOKUP(A7,'CT4 Ref'!A:A,'CT4 Ref'!B:B,"")</f>
        <v>2.1</v>
      </c>
      <c r="G7" s="61">
        <f t="shared" ca="1" si="1"/>
        <v>275.625</v>
      </c>
      <c r="H7" s="34">
        <f t="shared" ca="1" si="2"/>
        <v>595.125</v>
      </c>
      <c r="I7" s="115">
        <f t="shared" ca="1" si="3"/>
        <v>0.18422070886859621</v>
      </c>
    </row>
    <row r="8" spans="1:9" ht="15.75" customHeight="1" thickBot="1" x14ac:dyDescent="0.3">
      <c r="A8" s="179" t="s">
        <v>74</v>
      </c>
      <c r="B8" s="225" t="s">
        <v>261</v>
      </c>
      <c r="C8" s="102">
        <v>3230.5</v>
      </c>
      <c r="D8" s="102">
        <v>3550</v>
      </c>
      <c r="E8" s="130">
        <f t="shared" si="0"/>
        <v>319.5</v>
      </c>
      <c r="F8" s="71">
        <f ca="1">_xlfn.XLOOKUP(A8,'CT4 Ref'!A:A,'CT4 Ref'!B:B,"")</f>
        <v>2.1</v>
      </c>
      <c r="G8" s="61">
        <f t="shared" ca="1" si="1"/>
        <v>275.625</v>
      </c>
      <c r="H8" s="34">
        <f t="shared" ca="1" si="2"/>
        <v>595.125</v>
      </c>
      <c r="I8" s="115">
        <f t="shared" ca="1" si="3"/>
        <v>0.18422070886859621</v>
      </c>
    </row>
    <row r="9" spans="1:9" ht="15.75" customHeight="1" thickBot="1" x14ac:dyDescent="0.3">
      <c r="A9" s="179" t="s">
        <v>149</v>
      </c>
      <c r="B9" s="225" t="s">
        <v>262</v>
      </c>
      <c r="C9" s="102">
        <v>3230.5</v>
      </c>
      <c r="D9" s="102">
        <v>3550</v>
      </c>
      <c r="E9" s="130">
        <f t="shared" si="0"/>
        <v>319.5</v>
      </c>
      <c r="F9" s="71">
        <f ca="1">_xlfn.XLOOKUP(A9,'CT4 Ref'!A:A,'CT4 Ref'!B:B,"")</f>
        <v>2.1</v>
      </c>
      <c r="G9" s="61">
        <f t="shared" ca="1" si="1"/>
        <v>275.625</v>
      </c>
      <c r="H9" s="34">
        <f t="shared" ca="1" si="2"/>
        <v>595.125</v>
      </c>
      <c r="I9" s="115">
        <f t="shared" ca="1" si="3"/>
        <v>0.18422070886859621</v>
      </c>
    </row>
    <row r="10" spans="1:9" ht="15.75" customHeight="1" thickBot="1" x14ac:dyDescent="0.3">
      <c r="A10" s="179" t="s">
        <v>163</v>
      </c>
      <c r="B10" s="225" t="s">
        <v>263</v>
      </c>
      <c r="C10" s="102">
        <v>2980.25</v>
      </c>
      <c r="D10" s="102">
        <v>3275</v>
      </c>
      <c r="E10" s="130">
        <f t="shared" si="0"/>
        <v>294.75</v>
      </c>
      <c r="F10" s="71">
        <f ca="1">_xlfn.XLOOKUP(A10,'CT4 Ref'!A:A,'CT4 Ref'!B:B,"")</f>
        <v>1.3</v>
      </c>
      <c r="G10" s="61">
        <f t="shared" ca="1" si="1"/>
        <v>170.625</v>
      </c>
      <c r="H10" s="34">
        <f t="shared" ca="1" si="2"/>
        <v>465.375</v>
      </c>
      <c r="I10" s="115">
        <f t="shared" ca="1" si="3"/>
        <v>0.15615300729804546</v>
      </c>
    </row>
    <row r="11" spans="1:9" ht="15.75" customHeight="1" thickBot="1" x14ac:dyDescent="0.3">
      <c r="A11" s="179" t="s">
        <v>11</v>
      </c>
      <c r="B11" s="225" t="s">
        <v>264</v>
      </c>
      <c r="C11" s="102">
        <v>3321.5</v>
      </c>
      <c r="D11" s="102">
        <v>3650</v>
      </c>
      <c r="E11" s="130">
        <f t="shared" si="0"/>
        <v>328.5</v>
      </c>
      <c r="F11" s="71">
        <f ca="1">_xlfn.XLOOKUP(A11,'CT4 Ref'!A:A,'CT4 Ref'!B:B,"")</f>
        <v>3.3</v>
      </c>
      <c r="G11" s="61">
        <f t="shared" ca="1" si="1"/>
        <v>433.125</v>
      </c>
      <c r="H11" s="34">
        <f t="shared" ca="1" si="2"/>
        <v>761.625</v>
      </c>
      <c r="I11" s="115">
        <f t="shared" ca="1" si="3"/>
        <v>0.22930152039741081</v>
      </c>
    </row>
    <row r="12" spans="1:9" ht="15.75" customHeight="1" thickBot="1" x14ac:dyDescent="0.3">
      <c r="A12" s="222" t="s">
        <v>156</v>
      </c>
      <c r="B12" s="141" t="s">
        <v>157</v>
      </c>
      <c r="C12" s="103">
        <v>204.75</v>
      </c>
      <c r="D12" s="103">
        <v>225</v>
      </c>
      <c r="E12" s="130">
        <f>D12-C12</f>
        <v>20.25</v>
      </c>
      <c r="F12" s="71">
        <f>_xlfn.XLOOKUP(A12,'CT4 Ref'!A:A,'CT4 Ref'!B:B,"")</f>
        <v>0.5</v>
      </c>
      <c r="G12" s="61">
        <f t="shared" ref="G12:G17" si="4">(F12*Labor)*SvcGross</f>
        <v>65.625</v>
      </c>
      <c r="H12" s="34">
        <f>G12+E12</f>
        <v>85.875</v>
      </c>
      <c r="I12" s="115">
        <f>H12/C12</f>
        <v>0.41941391941391942</v>
      </c>
    </row>
    <row r="13" spans="1:9" ht="15.75" customHeight="1" thickBot="1" x14ac:dyDescent="0.3">
      <c r="A13" s="222" t="s">
        <v>66</v>
      </c>
      <c r="B13" s="141" t="s">
        <v>186</v>
      </c>
      <c r="C13" s="103">
        <v>614.25</v>
      </c>
      <c r="D13" s="103">
        <v>675</v>
      </c>
      <c r="E13" s="131">
        <f>D13-C13</f>
        <v>60.75</v>
      </c>
      <c r="F13" s="71">
        <f>_xlfn.XLOOKUP(A13,'CT4 Ref'!A:A,'CT4 Ref'!B:B,"")</f>
        <v>0.5</v>
      </c>
      <c r="G13" s="61">
        <f t="shared" si="4"/>
        <v>65.625</v>
      </c>
      <c r="H13" s="35">
        <f>G13+E13</f>
        <v>126.375</v>
      </c>
      <c r="I13" s="116">
        <f>H13/C13</f>
        <v>0.20573870573870573</v>
      </c>
    </row>
    <row r="14" spans="1:9" ht="15.75" customHeight="1" thickBot="1" x14ac:dyDescent="0.3">
      <c r="A14" s="222" t="s">
        <v>159</v>
      </c>
      <c r="B14" s="141" t="s">
        <v>160</v>
      </c>
      <c r="C14" s="103">
        <v>177.45</v>
      </c>
      <c r="D14" s="103">
        <v>195</v>
      </c>
      <c r="E14" s="131">
        <f>D14-C14</f>
        <v>17.550000000000011</v>
      </c>
      <c r="F14" s="71">
        <f>_xlfn.XLOOKUP(A14,'CT4 Ref'!A:A,'CT4 Ref'!B:B,"")</f>
        <v>0.5</v>
      </c>
      <c r="G14" s="61">
        <f t="shared" si="4"/>
        <v>65.625</v>
      </c>
      <c r="H14" s="35">
        <f>G14+E14</f>
        <v>83.175000000000011</v>
      </c>
      <c r="I14" s="116">
        <f>H14/C14</f>
        <v>0.46872358410819959</v>
      </c>
    </row>
    <row r="15" spans="1:9" ht="15.75" customHeight="1" thickBot="1" x14ac:dyDescent="0.3">
      <c r="A15" s="222" t="s">
        <v>161</v>
      </c>
      <c r="B15" s="141" t="s">
        <v>162</v>
      </c>
      <c r="C15" s="103">
        <v>723.45</v>
      </c>
      <c r="D15" s="103">
        <v>795</v>
      </c>
      <c r="E15" s="62">
        <f>D15-C15</f>
        <v>71.549999999999955</v>
      </c>
      <c r="F15" s="71">
        <f>_xlfn.XLOOKUP(A15,'CT4 Ref'!A:A,'CT4 Ref'!B:B,"")</f>
        <v>1.5</v>
      </c>
      <c r="G15" s="61">
        <f t="shared" si="4"/>
        <v>196.875</v>
      </c>
      <c r="H15" s="33">
        <f>G15+E15</f>
        <v>268.42499999999995</v>
      </c>
      <c r="I15" s="60">
        <f>H15/C15</f>
        <v>0.37103462575160678</v>
      </c>
    </row>
    <row r="16" spans="1:9" ht="15.75" customHeight="1" thickBot="1" x14ac:dyDescent="0.3">
      <c r="A16" s="222" t="s">
        <v>99</v>
      </c>
      <c r="B16" s="141" t="s">
        <v>187</v>
      </c>
      <c r="C16" s="103">
        <v>541.45000000000005</v>
      </c>
      <c r="D16" s="103">
        <v>595</v>
      </c>
      <c r="E16" s="131">
        <f t="shared" ref="E16:E17" si="5">D16-C16</f>
        <v>53.549999999999955</v>
      </c>
      <c r="F16" s="71">
        <f>_xlfn.XLOOKUP(A16,'CT4 Ref'!A:A,'CT4 Ref'!B:B,"")</f>
        <v>0.5</v>
      </c>
      <c r="G16" s="61">
        <f t="shared" si="4"/>
        <v>65.625</v>
      </c>
      <c r="H16" s="35">
        <f t="shared" ref="H16:H17" si="6">G16+E16</f>
        <v>119.17499999999995</v>
      </c>
      <c r="I16" s="116">
        <f t="shared" ref="I16:I17" si="7">H16/C16</f>
        <v>0.22010342598577881</v>
      </c>
    </row>
    <row r="17" spans="1:9" ht="15.75" customHeight="1" thickBot="1" x14ac:dyDescent="0.3">
      <c r="A17" s="222" t="s">
        <v>188</v>
      </c>
      <c r="B17" s="141" t="s">
        <v>189</v>
      </c>
      <c r="C17" s="103">
        <v>432.25</v>
      </c>
      <c r="D17" s="103">
        <v>475</v>
      </c>
      <c r="E17" s="131">
        <f t="shared" si="5"/>
        <v>42.75</v>
      </c>
      <c r="F17" s="71">
        <f>_xlfn.XLOOKUP(A17,'CT4 Ref'!A:A,'CT4 Ref'!B:B,"")</f>
        <v>1.3</v>
      </c>
      <c r="G17" s="61">
        <f t="shared" si="4"/>
        <v>170.625</v>
      </c>
      <c r="H17" s="35">
        <f t="shared" si="6"/>
        <v>213.375</v>
      </c>
      <c r="I17" s="116">
        <f t="shared" si="7"/>
        <v>0.49363794100636205</v>
      </c>
    </row>
    <row r="18" spans="1:9" ht="15.75" customHeight="1" thickBot="1" x14ac:dyDescent="0.3">
      <c r="A18" s="222" t="s">
        <v>17</v>
      </c>
      <c r="B18" s="141" t="s">
        <v>190</v>
      </c>
      <c r="C18" s="103">
        <v>268.45</v>
      </c>
      <c r="D18" s="103">
        <v>295</v>
      </c>
      <c r="E18" s="130">
        <f t="shared" si="0"/>
        <v>26.550000000000011</v>
      </c>
      <c r="F18" s="71">
        <f>_xlfn.XLOOKUP(A18,'CT4 Ref'!A:A,'CT4 Ref'!B:B,"")</f>
        <v>0.4</v>
      </c>
      <c r="G18" s="61">
        <f t="shared" si="1"/>
        <v>52.5</v>
      </c>
      <c r="H18" s="34">
        <f t="shared" si="2"/>
        <v>79.050000000000011</v>
      </c>
      <c r="I18" s="115">
        <f t="shared" si="3"/>
        <v>0.29446824362078605</v>
      </c>
    </row>
    <row r="19" spans="1:9" ht="15.75" customHeight="1" thickBot="1" x14ac:dyDescent="0.3">
      <c r="A19" s="222" t="s">
        <v>44</v>
      </c>
      <c r="B19" s="141" t="s">
        <v>165</v>
      </c>
      <c r="C19" s="103">
        <v>159.25</v>
      </c>
      <c r="D19" s="103">
        <v>175</v>
      </c>
      <c r="E19" s="130">
        <f t="shared" si="0"/>
        <v>15.75</v>
      </c>
      <c r="F19" s="71">
        <f>_xlfn.XLOOKUP(A19,'CT4 Ref'!A:A,'CT4 Ref'!B:B,"")</f>
        <v>0.1</v>
      </c>
      <c r="G19" s="61">
        <f t="shared" si="1"/>
        <v>13.125</v>
      </c>
      <c r="H19" s="34">
        <f t="shared" si="2"/>
        <v>28.875</v>
      </c>
      <c r="I19" s="115">
        <f t="shared" si="3"/>
        <v>0.18131868131868131</v>
      </c>
    </row>
    <row r="20" spans="1:9" ht="15.75" customHeight="1" thickBot="1" x14ac:dyDescent="0.3">
      <c r="A20" s="222" t="s">
        <v>35</v>
      </c>
      <c r="B20" s="141" t="s">
        <v>166</v>
      </c>
      <c r="C20" s="103">
        <v>50.05</v>
      </c>
      <c r="D20" s="103">
        <v>55</v>
      </c>
      <c r="E20" s="130">
        <f t="shared" si="0"/>
        <v>4.9500000000000028</v>
      </c>
      <c r="F20" s="71">
        <f>_xlfn.XLOOKUP(A20,'CT4 Ref'!A:A,'CT4 Ref'!B:B,"")</f>
        <v>0.1</v>
      </c>
      <c r="G20" s="61">
        <f t="shared" si="1"/>
        <v>13.125</v>
      </c>
      <c r="H20" s="34">
        <f t="shared" si="2"/>
        <v>18.075000000000003</v>
      </c>
      <c r="I20" s="115">
        <f t="shared" si="3"/>
        <v>0.36113886113886123</v>
      </c>
    </row>
    <row r="21" spans="1:9" ht="15.75" customHeight="1" thickBot="1" x14ac:dyDescent="0.3">
      <c r="A21" s="222" t="s">
        <v>36</v>
      </c>
      <c r="B21" s="141" t="s">
        <v>51</v>
      </c>
      <c r="C21" s="103">
        <v>159.25</v>
      </c>
      <c r="D21" s="103">
        <v>175</v>
      </c>
      <c r="E21" s="130">
        <f t="shared" ref="E21:E34" si="8">D21-C21</f>
        <v>15.75</v>
      </c>
      <c r="F21" s="71">
        <f>_xlfn.XLOOKUP(A21,'CT4 Ref'!A:A,'CT4 Ref'!B:B,"")</f>
        <v>0.1</v>
      </c>
      <c r="G21" s="61">
        <f t="shared" ref="G21:G22" si="9">(F21*Labor)*SvcGross</f>
        <v>13.125</v>
      </c>
      <c r="H21" s="34">
        <f t="shared" ref="H21:H22" si="10">G21+E21</f>
        <v>28.875</v>
      </c>
      <c r="I21" s="115">
        <f t="shared" ref="I21:I22" si="11">H21/C21</f>
        <v>0.18131868131868131</v>
      </c>
    </row>
    <row r="22" spans="1:9" ht="15.75" thickBot="1" x14ac:dyDescent="0.3">
      <c r="A22" s="222" t="s">
        <v>167</v>
      </c>
      <c r="B22" s="141" t="s">
        <v>168</v>
      </c>
      <c r="C22" s="103">
        <v>1023.75</v>
      </c>
      <c r="D22" s="103">
        <v>1125</v>
      </c>
      <c r="E22" s="130">
        <f t="shared" si="8"/>
        <v>101.25</v>
      </c>
      <c r="F22" s="71">
        <f>_xlfn.XLOOKUP(A22,'CT4 Ref'!A:A,'CT4 Ref'!B:B,"")</f>
        <v>1.4</v>
      </c>
      <c r="G22" s="61">
        <f t="shared" si="9"/>
        <v>183.74999999999997</v>
      </c>
      <c r="H22" s="34">
        <f t="shared" si="10"/>
        <v>285</v>
      </c>
      <c r="I22" s="115">
        <f t="shared" si="11"/>
        <v>0.2783882783882784</v>
      </c>
    </row>
    <row r="23" spans="1:9" ht="15.75" thickBot="1" x14ac:dyDescent="0.3">
      <c r="A23" s="222" t="s">
        <v>12</v>
      </c>
      <c r="B23" s="141" t="s">
        <v>191</v>
      </c>
      <c r="C23" s="103">
        <v>227.5</v>
      </c>
      <c r="D23" s="103">
        <v>250</v>
      </c>
      <c r="E23" s="130">
        <f t="shared" si="8"/>
        <v>22.5</v>
      </c>
      <c r="F23" s="71">
        <f>_xlfn.XLOOKUP(A23,'CT4 Ref'!A:A,'CT4 Ref'!B:B,"")</f>
        <v>1</v>
      </c>
      <c r="G23" s="61">
        <f t="shared" ref="G23:G34" si="12">(F23*Labor)*SvcGross</f>
        <v>131.25</v>
      </c>
      <c r="H23" s="34">
        <f t="shared" ref="H23:H34" si="13">G23+E23</f>
        <v>153.75</v>
      </c>
      <c r="I23" s="115">
        <f t="shared" ref="I23:I34" si="14">H23/C23</f>
        <v>0.67582417582417587</v>
      </c>
    </row>
    <row r="24" spans="1:9" ht="15.75" thickBot="1" x14ac:dyDescent="0.3">
      <c r="A24" s="222" t="s">
        <v>192</v>
      </c>
      <c r="B24" s="141" t="s">
        <v>193</v>
      </c>
      <c r="C24" s="103">
        <v>2388.75</v>
      </c>
      <c r="D24" s="103">
        <v>2625</v>
      </c>
      <c r="E24" s="130">
        <f t="shared" si="8"/>
        <v>236.25</v>
      </c>
      <c r="F24" s="71">
        <f>_xlfn.XLOOKUP(A24,'CT4 Ref'!A:A,'CT4 Ref'!B:B,"")</f>
        <v>0.8</v>
      </c>
      <c r="G24" s="61">
        <f t="shared" si="12"/>
        <v>105</v>
      </c>
      <c r="H24" s="34">
        <f t="shared" si="13"/>
        <v>341.25</v>
      </c>
      <c r="I24" s="115">
        <f t="shared" si="14"/>
        <v>0.14285714285714285</v>
      </c>
    </row>
    <row r="25" spans="1:9" ht="15.75" thickBot="1" x14ac:dyDescent="0.3">
      <c r="A25" s="222" t="s">
        <v>169</v>
      </c>
      <c r="B25" s="141" t="s">
        <v>170</v>
      </c>
      <c r="C25" s="103">
        <v>177.45</v>
      </c>
      <c r="D25" s="103">
        <v>195</v>
      </c>
      <c r="E25" s="130">
        <f t="shared" si="8"/>
        <v>17.550000000000011</v>
      </c>
      <c r="F25" s="71">
        <f>_xlfn.XLOOKUP(A25,'CT4 Ref'!A:A,'CT4 Ref'!B:B,"")</f>
        <v>0.1</v>
      </c>
      <c r="G25" s="61">
        <f t="shared" si="12"/>
        <v>13.125</v>
      </c>
      <c r="H25" s="34">
        <f t="shared" si="13"/>
        <v>30.675000000000011</v>
      </c>
      <c r="I25" s="115">
        <f t="shared" si="14"/>
        <v>0.1728655959425191</v>
      </c>
    </row>
    <row r="26" spans="1:9" ht="15.75" thickBot="1" x14ac:dyDescent="0.3">
      <c r="A26" s="222" t="s">
        <v>194</v>
      </c>
      <c r="B26" s="141" t="s">
        <v>195</v>
      </c>
      <c r="C26" s="103">
        <v>2270.4499999999998</v>
      </c>
      <c r="D26" s="103">
        <v>2495</v>
      </c>
      <c r="E26" s="130">
        <f t="shared" si="8"/>
        <v>224.55000000000018</v>
      </c>
      <c r="F26" s="71">
        <f>_xlfn.XLOOKUP(A26,'CT4 Ref'!A:A,'CT4 Ref'!B:B,"")</f>
        <v>0.8</v>
      </c>
      <c r="G26" s="61">
        <f t="shared" si="12"/>
        <v>105</v>
      </c>
      <c r="H26" s="34">
        <f t="shared" si="13"/>
        <v>329.55000000000018</v>
      </c>
      <c r="I26" s="115">
        <f t="shared" si="14"/>
        <v>0.14514743773260816</v>
      </c>
    </row>
    <row r="27" spans="1:9" ht="15.75" thickBot="1" x14ac:dyDescent="0.3">
      <c r="A27" s="222" t="s">
        <v>63</v>
      </c>
      <c r="B27" s="141" t="s">
        <v>171</v>
      </c>
      <c r="C27" s="103">
        <v>250.25</v>
      </c>
      <c r="D27" s="103">
        <v>275</v>
      </c>
      <c r="E27" s="130">
        <f t="shared" si="8"/>
        <v>24.75</v>
      </c>
      <c r="F27" s="71">
        <f>_xlfn.XLOOKUP(A27,'CT4 Ref'!A:A,'CT4 Ref'!B:B,"")</f>
        <v>0.2</v>
      </c>
      <c r="G27" s="61">
        <f t="shared" si="12"/>
        <v>26.25</v>
      </c>
      <c r="H27" s="34">
        <f t="shared" si="13"/>
        <v>51</v>
      </c>
      <c r="I27" s="115">
        <f t="shared" si="14"/>
        <v>0.20379620379620381</v>
      </c>
    </row>
    <row r="28" spans="1:9" ht="15.75" thickBot="1" x14ac:dyDescent="0.3">
      <c r="A28" s="222" t="s">
        <v>53</v>
      </c>
      <c r="B28" s="141" t="s">
        <v>172</v>
      </c>
      <c r="C28" s="103">
        <v>118.3</v>
      </c>
      <c r="D28" s="103">
        <v>130</v>
      </c>
      <c r="E28" s="130">
        <f t="shared" si="8"/>
        <v>11.700000000000003</v>
      </c>
      <c r="F28" s="71">
        <f>_xlfn.XLOOKUP(A28,'CT4 Ref'!A:A,'CT4 Ref'!B:B,"")</f>
        <v>0.1</v>
      </c>
      <c r="G28" s="61">
        <f t="shared" si="12"/>
        <v>13.125</v>
      </c>
      <c r="H28" s="34">
        <f t="shared" si="13"/>
        <v>24.825000000000003</v>
      </c>
      <c r="I28" s="115">
        <f t="shared" si="14"/>
        <v>0.2098478444632291</v>
      </c>
    </row>
    <row r="29" spans="1:9" ht="15.75" thickBot="1" x14ac:dyDescent="0.3">
      <c r="A29" s="222" t="s">
        <v>173</v>
      </c>
      <c r="B29" s="141" t="s">
        <v>196</v>
      </c>
      <c r="C29" s="103">
        <v>113.75</v>
      </c>
      <c r="D29" s="103">
        <v>125</v>
      </c>
      <c r="E29" s="130">
        <f t="shared" si="8"/>
        <v>11.25</v>
      </c>
      <c r="F29" s="71">
        <f>_xlfn.XLOOKUP(A29,'CT4 Ref'!A:A,'CT4 Ref'!B:B,"")</f>
        <v>0.1</v>
      </c>
      <c r="G29" s="61">
        <f t="shared" si="12"/>
        <v>13.125</v>
      </c>
      <c r="H29" s="34">
        <f t="shared" si="13"/>
        <v>24.375</v>
      </c>
      <c r="I29" s="115">
        <f t="shared" si="14"/>
        <v>0.21428571428571427</v>
      </c>
    </row>
    <row r="30" spans="1:9" ht="15.75" thickBot="1" x14ac:dyDescent="0.3">
      <c r="A30" s="222" t="s">
        <v>179</v>
      </c>
      <c r="B30" s="141" t="s">
        <v>180</v>
      </c>
      <c r="C30" s="103">
        <v>773.5</v>
      </c>
      <c r="D30" s="103">
        <v>850</v>
      </c>
      <c r="E30" s="130">
        <f t="shared" si="8"/>
        <v>76.5</v>
      </c>
      <c r="F30" s="71">
        <f>_xlfn.XLOOKUP(A30,'CT4 Ref'!A:A,'CT4 Ref'!B:B,"")</f>
        <v>1.5</v>
      </c>
      <c r="G30" s="61">
        <f t="shared" si="12"/>
        <v>196.875</v>
      </c>
      <c r="H30" s="34">
        <f t="shared" si="13"/>
        <v>273.375</v>
      </c>
      <c r="I30" s="115">
        <f t="shared" si="14"/>
        <v>0.35342598577892698</v>
      </c>
    </row>
    <row r="31" spans="1:9" ht="15.75" thickBot="1" x14ac:dyDescent="0.3">
      <c r="A31" s="222" t="s">
        <v>37</v>
      </c>
      <c r="B31" s="141" t="s">
        <v>181</v>
      </c>
      <c r="C31" s="103">
        <v>218.4</v>
      </c>
      <c r="D31" s="103">
        <v>240</v>
      </c>
      <c r="E31" s="130">
        <f t="shared" si="8"/>
        <v>21.599999999999994</v>
      </c>
      <c r="F31" s="71">
        <f>_xlfn.XLOOKUP(A31,'CT4 Ref'!A:A,'CT4 Ref'!B:B,"")</f>
        <v>0.1</v>
      </c>
      <c r="G31" s="61">
        <f t="shared" si="12"/>
        <v>13.125</v>
      </c>
      <c r="H31" s="34">
        <f t="shared" si="13"/>
        <v>34.724999999999994</v>
      </c>
      <c r="I31" s="115">
        <f t="shared" si="14"/>
        <v>0.15899725274725271</v>
      </c>
    </row>
    <row r="32" spans="1:9" ht="15.75" thickBot="1" x14ac:dyDescent="0.3">
      <c r="A32" s="222" t="s">
        <v>38</v>
      </c>
      <c r="B32" s="141" t="s">
        <v>182</v>
      </c>
      <c r="C32" s="103">
        <v>122.85</v>
      </c>
      <c r="D32" s="103">
        <v>135</v>
      </c>
      <c r="E32" s="130">
        <f t="shared" si="8"/>
        <v>12.150000000000006</v>
      </c>
      <c r="F32" s="71">
        <f>_xlfn.XLOOKUP(A32,'CT4 Ref'!A:A,'CT4 Ref'!B:B,"")</f>
        <v>0.1</v>
      </c>
      <c r="G32" s="61">
        <f t="shared" si="12"/>
        <v>13.125</v>
      </c>
      <c r="H32" s="34">
        <f t="shared" si="13"/>
        <v>25.275000000000006</v>
      </c>
      <c r="I32" s="115">
        <f t="shared" si="14"/>
        <v>0.20573870573870578</v>
      </c>
    </row>
    <row r="33" spans="1:9" ht="15.75" thickBot="1" x14ac:dyDescent="0.3">
      <c r="A33" s="222" t="s">
        <v>46</v>
      </c>
      <c r="B33" s="141" t="s">
        <v>184</v>
      </c>
      <c r="C33" s="103">
        <v>218.4</v>
      </c>
      <c r="D33" s="103">
        <v>240</v>
      </c>
      <c r="E33" s="130">
        <f t="shared" si="8"/>
        <v>21.599999999999994</v>
      </c>
      <c r="F33" s="71">
        <f>_xlfn.XLOOKUP(A33,'CT4 Ref'!A:A,'CT4 Ref'!B:B,"")</f>
        <v>0.1</v>
      </c>
      <c r="G33" s="61">
        <f t="shared" si="12"/>
        <v>13.125</v>
      </c>
      <c r="H33" s="34">
        <f t="shared" si="13"/>
        <v>34.724999999999994</v>
      </c>
      <c r="I33" s="115">
        <f t="shared" si="14"/>
        <v>0.15899725274725271</v>
      </c>
    </row>
    <row r="34" spans="1:9" x14ac:dyDescent="0.25">
      <c r="A34" s="222" t="s">
        <v>41</v>
      </c>
      <c r="B34" s="141" t="s">
        <v>42</v>
      </c>
      <c r="C34" s="103">
        <v>86.45</v>
      </c>
      <c r="D34" s="103">
        <v>95</v>
      </c>
      <c r="E34" s="130">
        <f t="shared" si="8"/>
        <v>8.5499999999999972</v>
      </c>
      <c r="F34" s="71">
        <f>_xlfn.XLOOKUP(A34,'CT4 Ref'!A:A,'CT4 Ref'!B:B,"")</f>
        <v>0.1</v>
      </c>
      <c r="G34" s="61">
        <f t="shared" si="12"/>
        <v>13.125</v>
      </c>
      <c r="H34" s="34">
        <f t="shared" si="13"/>
        <v>21.674999999999997</v>
      </c>
      <c r="I34" s="115">
        <f t="shared" si="14"/>
        <v>0.25072296124927701</v>
      </c>
    </row>
  </sheetData>
  <autoFilter ref="A4:I4" xr:uid="{00000000-0001-0000-0500-000000000000}"/>
  <sortState xmlns:xlrd2="http://schemas.microsoft.com/office/spreadsheetml/2017/richdata2" ref="A5:I20">
    <sortCondition descending="1" ref="I5:I20"/>
  </sortState>
  <mergeCells count="1">
    <mergeCell ref="A1:I1"/>
  </mergeCells>
  <phoneticPr fontId="3" type="noConversion"/>
  <printOptions horizontalCentered="1"/>
  <pageMargins left="0.25" right="0.25" top="0.75" bottom="0.75" header="0.3" footer="0.3"/>
  <pageSetup scale="94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2814B-3224-4972-8C07-66210C54DA87}">
  <sheetPr codeName="Sheet14">
    <tabColor theme="4" tint="-0.249977111117893"/>
  </sheetPr>
  <dimension ref="A1:B36"/>
  <sheetViews>
    <sheetView topLeftCell="A4" workbookViewId="0">
      <selection activeCell="U50" sqref="U50"/>
    </sheetView>
  </sheetViews>
  <sheetFormatPr defaultRowHeight="15" x14ac:dyDescent="0.25"/>
  <sheetData>
    <row r="1" spans="1:2" x14ac:dyDescent="0.25">
      <c r="A1" t="s">
        <v>159</v>
      </c>
      <c r="B1">
        <v>0.5</v>
      </c>
    </row>
    <row r="2" spans="1:2" x14ac:dyDescent="0.25">
      <c r="A2" t="s">
        <v>156</v>
      </c>
      <c r="B2">
        <v>0.5</v>
      </c>
    </row>
    <row r="3" spans="1:2" x14ac:dyDescent="0.25">
      <c r="A3" t="s">
        <v>101</v>
      </c>
      <c r="B3">
        <v>0.5</v>
      </c>
    </row>
    <row r="4" spans="1:2" x14ac:dyDescent="0.25">
      <c r="A4" t="s">
        <v>66</v>
      </c>
      <c r="B4">
        <v>0.5</v>
      </c>
    </row>
    <row r="5" spans="1:2" x14ac:dyDescent="0.25">
      <c r="A5" t="s">
        <v>161</v>
      </c>
      <c r="B5">
        <v>1.5</v>
      </c>
    </row>
    <row r="6" spans="1:2" x14ac:dyDescent="0.25">
      <c r="A6" t="s">
        <v>99</v>
      </c>
      <c r="B6">
        <v>0.5</v>
      </c>
    </row>
    <row r="7" spans="1:2" x14ac:dyDescent="0.25">
      <c r="A7" t="s">
        <v>188</v>
      </c>
      <c r="B7">
        <v>1.3</v>
      </c>
    </row>
    <row r="8" spans="1:2" x14ac:dyDescent="0.25">
      <c r="A8" t="s">
        <v>17</v>
      </c>
      <c r="B8">
        <v>0.4</v>
      </c>
    </row>
    <row r="9" spans="1:2" x14ac:dyDescent="0.25">
      <c r="A9" t="s">
        <v>241</v>
      </c>
      <c r="B9">
        <v>0.5</v>
      </c>
    </row>
    <row r="10" spans="1:2" x14ac:dyDescent="0.25">
      <c r="A10" t="s">
        <v>167</v>
      </c>
      <c r="B10">
        <v>1.4</v>
      </c>
    </row>
    <row r="11" spans="1:2" x14ac:dyDescent="0.25">
      <c r="A11" t="s">
        <v>242</v>
      </c>
      <c r="B11">
        <v>0.6</v>
      </c>
    </row>
    <row r="12" spans="1:2" x14ac:dyDescent="0.25">
      <c r="A12" t="s">
        <v>12</v>
      </c>
      <c r="B12">
        <v>1</v>
      </c>
    </row>
    <row r="13" spans="1:2" x14ac:dyDescent="0.25">
      <c r="A13" t="s">
        <v>179</v>
      </c>
      <c r="B13">
        <v>1.5</v>
      </c>
    </row>
    <row r="14" spans="1:2" x14ac:dyDescent="0.25">
      <c r="A14" t="s">
        <v>37</v>
      </c>
      <c r="B14">
        <v>0.1</v>
      </c>
    </row>
    <row r="15" spans="1:2" x14ac:dyDescent="0.25">
      <c r="A15" t="s">
        <v>46</v>
      </c>
      <c r="B15">
        <v>0.1</v>
      </c>
    </row>
    <row r="16" spans="1:2" x14ac:dyDescent="0.25">
      <c r="A16" t="s">
        <v>44</v>
      </c>
      <c r="B16">
        <v>0.1</v>
      </c>
    </row>
    <row r="17" spans="1:2" x14ac:dyDescent="0.25">
      <c r="A17" t="s">
        <v>169</v>
      </c>
      <c r="B17">
        <v>0.1</v>
      </c>
    </row>
    <row r="18" spans="1:2" x14ac:dyDescent="0.25">
      <c r="A18" t="s">
        <v>38</v>
      </c>
      <c r="B18">
        <v>0.1</v>
      </c>
    </row>
    <row r="19" spans="1:2" x14ac:dyDescent="0.25">
      <c r="A19" t="s">
        <v>41</v>
      </c>
      <c r="B19">
        <v>0.1</v>
      </c>
    </row>
    <row r="20" spans="1:2" x14ac:dyDescent="0.25">
      <c r="A20" t="s">
        <v>35</v>
      </c>
      <c r="B20">
        <v>0.1</v>
      </c>
    </row>
    <row r="21" spans="1:2" x14ac:dyDescent="0.25">
      <c r="A21" t="s">
        <v>36</v>
      </c>
      <c r="B21">
        <v>0.1</v>
      </c>
    </row>
    <row r="22" spans="1:2" x14ac:dyDescent="0.25">
      <c r="A22" t="s">
        <v>192</v>
      </c>
      <c r="B22">
        <v>0.8</v>
      </c>
    </row>
    <row r="23" spans="1:2" x14ac:dyDescent="0.25">
      <c r="A23" t="s">
        <v>194</v>
      </c>
      <c r="B23">
        <v>0.8</v>
      </c>
    </row>
    <row r="24" spans="1:2" x14ac:dyDescent="0.25">
      <c r="A24" t="s">
        <v>243</v>
      </c>
      <c r="B24">
        <v>0.8</v>
      </c>
    </row>
    <row r="25" spans="1:2" x14ac:dyDescent="0.25">
      <c r="A25" t="s">
        <v>244</v>
      </c>
      <c r="B25">
        <v>0.8</v>
      </c>
    </row>
    <row r="26" spans="1:2" x14ac:dyDescent="0.25">
      <c r="A26" t="s">
        <v>245</v>
      </c>
      <c r="B26">
        <v>0.8</v>
      </c>
    </row>
    <row r="27" spans="1:2" x14ac:dyDescent="0.25">
      <c r="A27" t="s">
        <v>250</v>
      </c>
      <c r="B27">
        <v>0.2</v>
      </c>
    </row>
    <row r="28" spans="1:2" x14ac:dyDescent="0.25">
      <c r="A28" t="s">
        <v>53</v>
      </c>
      <c r="B28">
        <v>0.1</v>
      </c>
    </row>
    <row r="29" spans="1:2" x14ac:dyDescent="0.25">
      <c r="A29" t="s">
        <v>173</v>
      </c>
      <c r="B29">
        <v>0.1</v>
      </c>
    </row>
    <row r="30" spans="1:2" x14ac:dyDescent="0.25">
      <c r="A30" s="179" t="s">
        <v>9</v>
      </c>
      <c r="B30" cm="1">
        <f t="array" aca="1" ref="B30" ca="1">+OFFSET(SOU,0,1)+OFFSET(SPZ,0,1)+OFFSET(spy,0,1)+OFFSET(RIK,0,1)+OFFSET(_5JS,0,1)+OFFSET(_5XR,0,1)+OFFSET(_5V5,0,1)</f>
        <v>4</v>
      </c>
    </row>
    <row r="31" spans="1:2" x14ac:dyDescent="0.25">
      <c r="A31" s="179" t="s">
        <v>33</v>
      </c>
      <c r="B31">
        <f ca="1">+OFFSET(VAV,0,1)+OFFSET(VLI,0,1)</f>
        <v>0.2</v>
      </c>
    </row>
    <row r="32" spans="1:2" x14ac:dyDescent="0.25">
      <c r="A32" s="179" t="s">
        <v>19</v>
      </c>
      <c r="B32">
        <f ca="1">+OFFSET(SOX,0,1)+OFFSET(spy,0,1)+OFFSET(SPZ,0,1)+OFFSET(_ry2,0,1)+OFFSET(_5K2,0,1)</f>
        <v>2.1</v>
      </c>
    </row>
    <row r="33" spans="1:2" x14ac:dyDescent="0.25">
      <c r="A33" s="179" t="s">
        <v>74</v>
      </c>
      <c r="B33" cm="1">
        <f t="array" aca="1" ref="B33" ca="1">+OFFSET(SOY,0,1)+OFFSET(spy,0,1)+OFFSET(SPZ,0,1)+OFFSET(_ry2,0,1)+OFFSET(_5K2,0,1)</f>
        <v>2.1</v>
      </c>
    </row>
    <row r="34" spans="1:2" x14ac:dyDescent="0.25">
      <c r="A34" s="179" t="s">
        <v>149</v>
      </c>
      <c r="B34">
        <f ca="1">+OFFSET(SPQ,0,1)+OFFSET(spy,0,1)+OFFSET(SPZ,0,1)+OFFSET(_ry2,0,1)+OFFSET(_5K2,0,1)</f>
        <v>2.1</v>
      </c>
    </row>
    <row r="35" spans="1:2" x14ac:dyDescent="0.25">
      <c r="A35" s="179" t="s">
        <v>163</v>
      </c>
      <c r="B35">
        <f ca="1">+OFFSET(SGV,0,1)+OFFSET(_5V5,0,1)</f>
        <v>1.3</v>
      </c>
    </row>
    <row r="36" spans="1:2" x14ac:dyDescent="0.25">
      <c r="A36" s="179" t="s">
        <v>11</v>
      </c>
      <c r="B36">
        <f ca="1">+OFFSET(SGV,0,1)+OFFSET(VAS,0,1)+OFFSET(SFZ,0,1)</f>
        <v>3.3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5">
    <tabColor theme="1"/>
    <pageSetUpPr fitToPage="1"/>
  </sheetPr>
  <dimension ref="A1:I28"/>
  <sheetViews>
    <sheetView zoomScaleNormal="100" zoomScaleSheetLayoutView="120" workbookViewId="0">
      <pane xSplit="9" ySplit="4" topLeftCell="J5" activePane="bottomRight" state="frozen"/>
      <selection activeCell="U50" sqref="U50"/>
      <selection pane="topRight" activeCell="U50" sqref="U50"/>
      <selection pane="bottomLeft" activeCell="U50" sqref="U50"/>
      <selection pane="bottomRight" activeCell="H31" sqref="H31"/>
    </sheetView>
  </sheetViews>
  <sheetFormatPr defaultRowHeight="15" x14ac:dyDescent="0.25"/>
  <cols>
    <col min="1" max="1" width="8.7109375" customWidth="1"/>
    <col min="2" max="2" width="72.5703125" style="12" bestFit="1" customWidth="1"/>
    <col min="3" max="4" width="12.7109375" style="1" customWidth="1"/>
    <col min="5" max="5" width="12.7109375" customWidth="1"/>
    <col min="6" max="6" width="12.7109375" style="9" customWidth="1"/>
    <col min="7" max="7" width="12.7109375" style="1" customWidth="1"/>
    <col min="8" max="8" width="12.7109375" style="3" customWidth="1"/>
    <col min="9" max="9" width="12.7109375" style="2" customWidth="1"/>
    <col min="11" max="11" width="21.42578125" bestFit="1" customWidth="1"/>
  </cols>
  <sheetData>
    <row r="1" spans="1:9" ht="24" thickBot="1" x14ac:dyDescent="0.3">
      <c r="A1" s="263" t="s">
        <v>197</v>
      </c>
      <c r="B1" s="264"/>
      <c r="C1" s="264"/>
      <c r="D1" s="264"/>
      <c r="E1" s="264"/>
      <c r="F1" s="264"/>
      <c r="G1" s="264"/>
      <c r="H1" s="264"/>
      <c r="I1" s="265"/>
    </row>
    <row r="2" spans="1:9" s="5" customFormat="1" ht="12" customHeight="1" thickBot="1" x14ac:dyDescent="0.3">
      <c r="A2" s="26"/>
      <c r="B2" s="26"/>
      <c r="C2" s="22"/>
      <c r="D2" s="22"/>
      <c r="E2" s="22"/>
      <c r="F2" s="22"/>
      <c r="G2" s="22"/>
      <c r="H2" s="22"/>
      <c r="I2" s="23"/>
    </row>
    <row r="3" spans="1:9" ht="24" thickBot="1" x14ac:dyDescent="0.3">
      <c r="A3" s="27"/>
      <c r="B3" s="27"/>
      <c r="C3" s="273" t="s">
        <v>81</v>
      </c>
      <c r="D3" s="274"/>
      <c r="E3" s="275"/>
      <c r="F3" s="273" t="s">
        <v>82</v>
      </c>
      <c r="G3" s="275"/>
      <c r="H3" s="273" t="s">
        <v>83</v>
      </c>
      <c r="I3" s="275"/>
    </row>
    <row r="4" spans="1:9" ht="45.75" customHeight="1" thickBot="1" x14ac:dyDescent="0.3">
      <c r="A4" s="32" t="s">
        <v>0</v>
      </c>
      <c r="B4" s="30" t="s">
        <v>1</v>
      </c>
      <c r="C4" s="66" t="s">
        <v>3</v>
      </c>
      <c r="D4" s="67" t="s">
        <v>4</v>
      </c>
      <c r="E4" s="36" t="s">
        <v>6</v>
      </c>
      <c r="F4" s="70" t="s">
        <v>2</v>
      </c>
      <c r="G4" s="37" t="s">
        <v>5</v>
      </c>
      <c r="H4" s="38" t="s">
        <v>7</v>
      </c>
      <c r="I4" s="25" t="s">
        <v>8</v>
      </c>
    </row>
    <row r="5" spans="1:9" ht="15" customHeight="1" thickBot="1" x14ac:dyDescent="0.3">
      <c r="A5" s="152" t="s">
        <v>20</v>
      </c>
      <c r="B5" s="139" t="s">
        <v>251</v>
      </c>
      <c r="C5" s="65">
        <v>3726.45</v>
      </c>
      <c r="D5" s="65">
        <v>4095</v>
      </c>
      <c r="E5" s="132">
        <f t="shared" ref="E5:E12" si="0">D5-C5</f>
        <v>368.55000000000018</v>
      </c>
      <c r="F5" s="114">
        <f ca="1">_xlfn.XLOOKUP(A5,'XT5 Ref'!A:A,'XT5 Ref'!B:B,"")</f>
        <v>5.9</v>
      </c>
      <c r="G5" s="61">
        <f t="shared" ref="G5:G22" ca="1" si="1">(F5*Labor)*SvcGross</f>
        <v>774.375</v>
      </c>
      <c r="H5" s="35">
        <f t="shared" ref="H5:H11" ca="1" si="2">G5+E5</f>
        <v>1142.9250000000002</v>
      </c>
      <c r="I5" s="60">
        <f t="shared" ref="I5:I12" ca="1" si="3">H5/C5</f>
        <v>0.30670611439842216</v>
      </c>
    </row>
    <row r="6" spans="1:9" ht="15" customHeight="1" thickBot="1" x14ac:dyDescent="0.3">
      <c r="A6" s="152" t="s">
        <v>9</v>
      </c>
      <c r="B6" s="139" t="s">
        <v>252</v>
      </c>
      <c r="C6" s="65">
        <v>4545.45</v>
      </c>
      <c r="D6" s="65">
        <v>4995</v>
      </c>
      <c r="E6" s="132">
        <f t="shared" si="0"/>
        <v>449.55000000000018</v>
      </c>
      <c r="F6" s="114">
        <f ca="1">_xlfn.XLOOKUP(A6,'XT5 Ref'!A:A,'XT5 Ref'!B:B,"")</f>
        <v>8.8000000000000007</v>
      </c>
      <c r="G6" s="61">
        <f t="shared" ca="1" si="1"/>
        <v>1155.0000000000002</v>
      </c>
      <c r="H6" s="35">
        <f t="shared" ca="1" si="2"/>
        <v>1604.5500000000004</v>
      </c>
      <c r="I6" s="60">
        <f t="shared" ca="1" si="3"/>
        <v>0.3530013530013531</v>
      </c>
    </row>
    <row r="7" spans="1:9" ht="15" customHeight="1" thickBot="1" x14ac:dyDescent="0.3">
      <c r="A7" s="152" t="s">
        <v>49</v>
      </c>
      <c r="B7" s="139" t="s">
        <v>253</v>
      </c>
      <c r="C7" s="65">
        <v>386.75</v>
      </c>
      <c r="D7" s="65">
        <v>425</v>
      </c>
      <c r="E7" s="132">
        <f t="shared" si="0"/>
        <v>38.25</v>
      </c>
      <c r="F7" s="114">
        <f ca="1">_xlfn.XLOOKUP(A7,'XT5 Ref'!A:A,'XT5 Ref'!B:B,"")</f>
        <v>0.2</v>
      </c>
      <c r="G7" s="61">
        <f t="shared" ca="1" si="1"/>
        <v>26.25</v>
      </c>
      <c r="H7" s="35">
        <f t="shared" ca="1" si="2"/>
        <v>64.5</v>
      </c>
      <c r="I7" s="60">
        <f t="shared" ca="1" si="3"/>
        <v>0.16677440206851971</v>
      </c>
    </row>
    <row r="8" spans="1:9" ht="15" customHeight="1" thickBot="1" x14ac:dyDescent="0.3">
      <c r="A8" s="152" t="s">
        <v>33</v>
      </c>
      <c r="B8" s="139" t="s">
        <v>254</v>
      </c>
      <c r="C8" s="65">
        <v>359.45</v>
      </c>
      <c r="D8" s="65">
        <v>395</v>
      </c>
      <c r="E8" s="132">
        <f t="shared" si="0"/>
        <v>35.550000000000011</v>
      </c>
      <c r="F8" s="114">
        <f ca="1">_xlfn.XLOOKUP(A8,'XT5 Ref'!A:A,'XT5 Ref'!B:B,"")</f>
        <v>0.2</v>
      </c>
      <c r="G8" s="61">
        <f t="shared" ca="1" si="1"/>
        <v>26.25</v>
      </c>
      <c r="H8" s="33">
        <f t="shared" ca="1" si="2"/>
        <v>61.800000000000011</v>
      </c>
      <c r="I8" s="60">
        <f t="shared" ca="1" si="3"/>
        <v>0.17192933648629855</v>
      </c>
    </row>
    <row r="9" spans="1:9" ht="15" customHeight="1" thickBot="1" x14ac:dyDescent="0.3">
      <c r="A9" s="152" t="s">
        <v>19</v>
      </c>
      <c r="B9" s="139" t="s">
        <v>255</v>
      </c>
      <c r="C9" s="65">
        <v>2725.45</v>
      </c>
      <c r="D9" s="65">
        <v>2995</v>
      </c>
      <c r="E9" s="132">
        <f t="shared" si="0"/>
        <v>269.55000000000018</v>
      </c>
      <c r="F9" s="114">
        <f ca="1">_xlfn.XLOOKUP(A9,'XT5 Ref'!A:A,'XT5 Ref'!B:B,"")</f>
        <v>3.2000000000000006</v>
      </c>
      <c r="G9" s="61">
        <f t="shared" ca="1" si="1"/>
        <v>420.00000000000011</v>
      </c>
      <c r="H9" s="34">
        <f t="shared" ca="1" si="2"/>
        <v>689.5500000000003</v>
      </c>
      <c r="I9" s="60">
        <f t="shared" ca="1" si="3"/>
        <v>0.25300409106753025</v>
      </c>
    </row>
    <row r="10" spans="1:9" ht="15" customHeight="1" thickBot="1" x14ac:dyDescent="0.3">
      <c r="A10" s="152" t="s">
        <v>74</v>
      </c>
      <c r="B10" s="139" t="s">
        <v>256</v>
      </c>
      <c r="C10" s="65">
        <v>2725.45</v>
      </c>
      <c r="D10" s="65">
        <v>2995</v>
      </c>
      <c r="E10" s="132">
        <f t="shared" si="0"/>
        <v>269.55000000000018</v>
      </c>
      <c r="F10" s="114">
        <f ca="1">_xlfn.XLOOKUP(A10,'XT5 Ref'!A:A,'XT5 Ref'!B:B,"")</f>
        <v>3.2000000000000006</v>
      </c>
      <c r="G10" s="61">
        <f t="shared" ca="1" si="1"/>
        <v>420.00000000000011</v>
      </c>
      <c r="H10" s="34">
        <f t="shared" ca="1" si="2"/>
        <v>689.5500000000003</v>
      </c>
      <c r="I10" s="60">
        <f t="shared" ca="1" si="3"/>
        <v>0.25300409106753025</v>
      </c>
    </row>
    <row r="11" spans="1:9" ht="15.75" customHeight="1" thickBot="1" x14ac:dyDescent="0.3">
      <c r="A11" s="152" t="s">
        <v>149</v>
      </c>
      <c r="B11" s="139" t="s">
        <v>257</v>
      </c>
      <c r="C11" s="65">
        <v>2725.45</v>
      </c>
      <c r="D11" s="65">
        <v>2995</v>
      </c>
      <c r="E11" s="132">
        <f t="shared" si="0"/>
        <v>269.55000000000018</v>
      </c>
      <c r="F11" s="114">
        <f ca="1">_xlfn.XLOOKUP(A11,'XT5 Ref'!A:A,'XT5 Ref'!B:B,"")</f>
        <v>3.2000000000000006</v>
      </c>
      <c r="G11" s="61">
        <f t="shared" ca="1" si="1"/>
        <v>420.00000000000011</v>
      </c>
      <c r="H11" s="34">
        <f t="shared" ca="1" si="2"/>
        <v>689.5500000000003</v>
      </c>
      <c r="I11" s="60">
        <f t="shared" ca="1" si="3"/>
        <v>0.25300409106753025</v>
      </c>
    </row>
    <row r="12" spans="1:9" ht="16.5" customHeight="1" thickBot="1" x14ac:dyDescent="0.3">
      <c r="A12" s="152" t="s">
        <v>26</v>
      </c>
      <c r="B12" s="139" t="s">
        <v>258</v>
      </c>
      <c r="C12" s="65">
        <v>450.45</v>
      </c>
      <c r="D12" s="65">
        <v>495</v>
      </c>
      <c r="E12" s="132">
        <f t="shared" si="0"/>
        <v>44.550000000000011</v>
      </c>
      <c r="F12" s="114">
        <f ca="1">_xlfn.XLOOKUP(A12,'XT5 Ref'!A:A,'XT5 Ref'!B:B,"")</f>
        <v>0.2</v>
      </c>
      <c r="G12" s="61">
        <f t="shared" ca="1" si="1"/>
        <v>26.25</v>
      </c>
      <c r="H12" s="33">
        <f t="shared" ref="H12:H16" ca="1" si="4">G12+E12</f>
        <v>70.800000000000011</v>
      </c>
      <c r="I12" s="60">
        <f t="shared" ca="1" si="3"/>
        <v>0.15717615717615721</v>
      </c>
    </row>
    <row r="13" spans="1:9" ht="15" customHeight="1" thickBot="1" x14ac:dyDescent="0.3">
      <c r="A13" s="50" t="s">
        <v>57</v>
      </c>
      <c r="B13" s="109" t="s">
        <v>198</v>
      </c>
      <c r="C13" s="51">
        <v>386.75</v>
      </c>
      <c r="D13" s="51">
        <v>425</v>
      </c>
      <c r="E13" s="132">
        <f>D13-C13</f>
        <v>38.25</v>
      </c>
      <c r="F13" s="114">
        <f>_xlfn.XLOOKUP(A13,'XT5 Ref'!A:A,'XT5 Ref'!B:B,"")</f>
        <v>0.5</v>
      </c>
      <c r="G13" s="61">
        <f>(F13*Labor)*SvcGross</f>
        <v>65.625</v>
      </c>
      <c r="H13" s="35">
        <f>G13+E13</f>
        <v>103.875</v>
      </c>
      <c r="I13" s="60">
        <f>H13/C13</f>
        <v>0.26858435681965093</v>
      </c>
    </row>
    <row r="14" spans="1:9" ht="15.75" thickBot="1" x14ac:dyDescent="0.3">
      <c r="A14" s="50" t="s">
        <v>199</v>
      </c>
      <c r="B14" s="109" t="s">
        <v>200</v>
      </c>
      <c r="C14" s="51">
        <v>2452.4499999999998</v>
      </c>
      <c r="D14" s="51">
        <v>2695</v>
      </c>
      <c r="E14" s="132">
        <f t="shared" ref="E14:E28" si="5">D14-C14</f>
        <v>242.55000000000018</v>
      </c>
      <c r="F14" s="114">
        <f>_xlfn.XLOOKUP(A14,'XT5 Ref'!A:A,'XT5 Ref'!B:B,"")</f>
        <v>0.8</v>
      </c>
      <c r="G14" s="61">
        <f t="shared" si="1"/>
        <v>105</v>
      </c>
      <c r="H14" s="34">
        <f t="shared" si="4"/>
        <v>347.55000000000018</v>
      </c>
      <c r="I14" s="60">
        <f t="shared" ref="I14:I22" si="6">H14/C14</f>
        <v>0.14171542742971324</v>
      </c>
    </row>
    <row r="15" spans="1:9" ht="15.75" thickBot="1" x14ac:dyDescent="0.3">
      <c r="A15" s="50" t="s">
        <v>58</v>
      </c>
      <c r="B15" s="109" t="s">
        <v>201</v>
      </c>
      <c r="C15" s="51">
        <v>268.45</v>
      </c>
      <c r="D15" s="51">
        <v>295</v>
      </c>
      <c r="E15" s="132">
        <f t="shared" si="5"/>
        <v>26.550000000000011</v>
      </c>
      <c r="F15" s="114">
        <f>_xlfn.XLOOKUP(A15,'XT5 Ref'!A:A,'XT5 Ref'!B:B,"")</f>
        <v>0.3</v>
      </c>
      <c r="G15" s="61">
        <f t="shared" si="1"/>
        <v>39.375</v>
      </c>
      <c r="H15" s="34">
        <f t="shared" si="4"/>
        <v>65.925000000000011</v>
      </c>
      <c r="I15" s="60">
        <f t="shared" si="6"/>
        <v>0.24557645744086426</v>
      </c>
    </row>
    <row r="16" spans="1:9" ht="15.75" thickBot="1" x14ac:dyDescent="0.3">
      <c r="A16" s="50" t="s">
        <v>167</v>
      </c>
      <c r="B16" s="109" t="s">
        <v>202</v>
      </c>
      <c r="C16" s="51">
        <v>996.45</v>
      </c>
      <c r="D16" s="51">
        <v>1095</v>
      </c>
      <c r="E16" s="132">
        <f t="shared" si="5"/>
        <v>98.549999999999955</v>
      </c>
      <c r="F16" s="114">
        <f>_xlfn.XLOOKUP(A16,'XT5 Ref'!A:A,'XT5 Ref'!B:B,"")</f>
        <v>1.7</v>
      </c>
      <c r="G16" s="61">
        <f t="shared" si="1"/>
        <v>223.125</v>
      </c>
      <c r="H16" s="34">
        <f t="shared" si="4"/>
        <v>321.67499999999995</v>
      </c>
      <c r="I16" s="60">
        <f t="shared" si="6"/>
        <v>0.32282101460183649</v>
      </c>
    </row>
    <row r="17" spans="1:9" ht="15.75" thickBot="1" x14ac:dyDescent="0.3">
      <c r="A17" s="50" t="s">
        <v>71</v>
      </c>
      <c r="B17" s="109" t="s">
        <v>73</v>
      </c>
      <c r="C17" s="51">
        <v>500.5</v>
      </c>
      <c r="D17" s="51">
        <v>550</v>
      </c>
      <c r="E17" s="132">
        <f t="shared" si="5"/>
        <v>49.5</v>
      </c>
      <c r="F17" s="114">
        <f>_xlfn.XLOOKUP(A17,'XT5 Ref'!A:A,'XT5 Ref'!B:B,"")</f>
        <v>1</v>
      </c>
      <c r="G17" s="61">
        <f t="shared" si="1"/>
        <v>131.25</v>
      </c>
      <c r="H17" s="34">
        <f t="shared" ref="H17:H22" si="7">G17+E17</f>
        <v>180.75</v>
      </c>
      <c r="I17" s="60">
        <f t="shared" si="6"/>
        <v>0.36113886113886112</v>
      </c>
    </row>
    <row r="18" spans="1:9" ht="15.75" thickBot="1" x14ac:dyDescent="0.3">
      <c r="A18" s="50" t="s">
        <v>15</v>
      </c>
      <c r="B18" s="109" t="s">
        <v>16</v>
      </c>
      <c r="C18" s="51">
        <v>113.75</v>
      </c>
      <c r="D18" s="51">
        <v>125</v>
      </c>
      <c r="E18" s="132">
        <f t="shared" si="5"/>
        <v>11.25</v>
      </c>
      <c r="F18" s="114">
        <f>_xlfn.XLOOKUP(A18,'XT5 Ref'!A:A,'XT5 Ref'!B:B,"")</f>
        <v>0.1</v>
      </c>
      <c r="G18" s="61">
        <f t="shared" si="1"/>
        <v>13.125</v>
      </c>
      <c r="H18" s="34">
        <f t="shared" si="7"/>
        <v>24.375</v>
      </c>
      <c r="I18" s="60">
        <f t="shared" si="6"/>
        <v>0.21428571428571427</v>
      </c>
    </row>
    <row r="19" spans="1:9" ht="15.75" thickBot="1" x14ac:dyDescent="0.3">
      <c r="A19" s="50" t="s">
        <v>12</v>
      </c>
      <c r="B19" s="109" t="s">
        <v>203</v>
      </c>
      <c r="C19" s="51">
        <v>341.25</v>
      </c>
      <c r="D19" s="51">
        <v>375</v>
      </c>
      <c r="E19" s="132">
        <f t="shared" si="5"/>
        <v>33.75</v>
      </c>
      <c r="F19" s="114">
        <f>_xlfn.XLOOKUP(A19,'XT5 Ref'!A:A,'XT5 Ref'!B:B,"")</f>
        <v>1.6</v>
      </c>
      <c r="G19" s="61">
        <f t="shared" si="1"/>
        <v>210</v>
      </c>
      <c r="H19" s="34">
        <f t="shared" si="7"/>
        <v>243.75</v>
      </c>
      <c r="I19" s="60">
        <f t="shared" si="6"/>
        <v>0.7142857142857143</v>
      </c>
    </row>
    <row r="20" spans="1:9" ht="15.75" thickBot="1" x14ac:dyDescent="0.3">
      <c r="A20" s="50" t="s">
        <v>37</v>
      </c>
      <c r="B20" s="109" t="s">
        <v>47</v>
      </c>
      <c r="C20" s="51">
        <v>218.4</v>
      </c>
      <c r="D20" s="51">
        <v>240</v>
      </c>
      <c r="E20" s="132">
        <f t="shared" si="5"/>
        <v>21.599999999999994</v>
      </c>
      <c r="F20" s="114">
        <f>_xlfn.XLOOKUP(A20,'XT5 Ref'!A:A,'XT5 Ref'!B:B,"")</f>
        <v>0.1</v>
      </c>
      <c r="G20" s="61">
        <f t="shared" si="1"/>
        <v>13.125</v>
      </c>
      <c r="H20" s="34">
        <f t="shared" si="7"/>
        <v>34.724999999999994</v>
      </c>
      <c r="I20" s="60">
        <f t="shared" si="6"/>
        <v>0.15899725274725271</v>
      </c>
    </row>
    <row r="21" spans="1:9" ht="15.75" thickBot="1" x14ac:dyDescent="0.3">
      <c r="A21" s="50" t="s">
        <v>22</v>
      </c>
      <c r="B21" s="109" t="s">
        <v>204</v>
      </c>
      <c r="C21" s="51">
        <v>227.5</v>
      </c>
      <c r="D21" s="51">
        <v>250</v>
      </c>
      <c r="E21" s="132">
        <f t="shared" si="5"/>
        <v>22.5</v>
      </c>
      <c r="F21" s="114">
        <f>_xlfn.XLOOKUP(A21,'XT5 Ref'!A:A,'XT5 Ref'!B:B,"")</f>
        <v>1</v>
      </c>
      <c r="G21" s="61">
        <f t="shared" si="1"/>
        <v>131.25</v>
      </c>
      <c r="H21" s="34">
        <f t="shared" si="7"/>
        <v>153.75</v>
      </c>
      <c r="I21" s="60">
        <f t="shared" si="6"/>
        <v>0.67582417582417587</v>
      </c>
    </row>
    <row r="22" spans="1:9" ht="15.75" thickBot="1" x14ac:dyDescent="0.3">
      <c r="A22" s="50" t="s">
        <v>72</v>
      </c>
      <c r="B22" s="109" t="s">
        <v>205</v>
      </c>
      <c r="C22" s="51">
        <v>113.75</v>
      </c>
      <c r="D22" s="51">
        <v>125</v>
      </c>
      <c r="E22" s="132">
        <f t="shared" si="5"/>
        <v>11.25</v>
      </c>
      <c r="F22" s="114">
        <f>_xlfn.XLOOKUP(A22,'XT5 Ref'!A:A,'XT5 Ref'!B:B,"")</f>
        <v>0.1</v>
      </c>
      <c r="G22" s="61">
        <f t="shared" si="1"/>
        <v>13.125</v>
      </c>
      <c r="H22" s="34">
        <f t="shared" si="7"/>
        <v>24.375</v>
      </c>
      <c r="I22" s="60">
        <f t="shared" si="6"/>
        <v>0.21428571428571427</v>
      </c>
    </row>
    <row r="23" spans="1:9" ht="15.75" thickBot="1" x14ac:dyDescent="0.3">
      <c r="A23" s="50" t="s">
        <v>10</v>
      </c>
      <c r="B23" s="109" t="s">
        <v>206</v>
      </c>
      <c r="C23" s="51">
        <v>227.5</v>
      </c>
      <c r="D23" s="51">
        <v>250</v>
      </c>
      <c r="E23" s="132">
        <f t="shared" si="5"/>
        <v>22.5</v>
      </c>
      <c r="F23" s="114">
        <f>_xlfn.XLOOKUP(A23,'XT5 Ref'!A:A,'XT5 Ref'!B:B,"")</f>
        <v>1</v>
      </c>
      <c r="G23" s="61">
        <f t="shared" ref="G23:G28" si="8">(F23*Labor)*SvcGross</f>
        <v>131.25</v>
      </c>
      <c r="H23" s="34">
        <f t="shared" ref="H23:H28" si="9">G23+E23</f>
        <v>153.75</v>
      </c>
      <c r="I23" s="60">
        <f t="shared" ref="I23:I28" si="10">H23/C23</f>
        <v>0.67582417582417587</v>
      </c>
    </row>
    <row r="24" spans="1:9" ht="15.75" thickBot="1" x14ac:dyDescent="0.3">
      <c r="A24" s="50" t="s">
        <v>153</v>
      </c>
      <c r="B24" s="109" t="s">
        <v>207</v>
      </c>
      <c r="C24" s="51">
        <v>359.45</v>
      </c>
      <c r="D24" s="51">
        <v>395</v>
      </c>
      <c r="E24" s="132">
        <f t="shared" si="5"/>
        <v>35.550000000000011</v>
      </c>
      <c r="F24" s="114">
        <f>_xlfn.XLOOKUP(A24,'XT5 Ref'!A:A,'XT5 Ref'!B:B,"")</f>
        <v>0.3</v>
      </c>
      <c r="G24" s="61">
        <f t="shared" si="8"/>
        <v>39.375</v>
      </c>
      <c r="H24" s="34">
        <f t="shared" si="9"/>
        <v>74.925000000000011</v>
      </c>
      <c r="I24" s="60">
        <f t="shared" si="10"/>
        <v>0.20844345527889835</v>
      </c>
    </row>
    <row r="25" spans="1:9" ht="15.75" thickBot="1" x14ac:dyDescent="0.3">
      <c r="A25" s="50" t="s">
        <v>61</v>
      </c>
      <c r="B25" s="109" t="s">
        <v>128</v>
      </c>
      <c r="C25" s="51">
        <v>359.45</v>
      </c>
      <c r="D25" s="51">
        <v>395</v>
      </c>
      <c r="E25" s="132">
        <f t="shared" si="5"/>
        <v>35.550000000000011</v>
      </c>
      <c r="F25" s="114">
        <f>_xlfn.XLOOKUP(A25,'XT5 Ref'!A:A,'XT5 Ref'!B:B,"")</f>
        <v>0.5</v>
      </c>
      <c r="G25" s="61">
        <f t="shared" si="8"/>
        <v>65.625</v>
      </c>
      <c r="H25" s="34">
        <f t="shared" si="9"/>
        <v>101.17500000000001</v>
      </c>
      <c r="I25" s="60">
        <f t="shared" si="10"/>
        <v>0.28147169286409796</v>
      </c>
    </row>
    <row r="26" spans="1:9" ht="15.75" thickBot="1" x14ac:dyDescent="0.3">
      <c r="A26" s="50" t="s">
        <v>39</v>
      </c>
      <c r="B26" s="109" t="s">
        <v>116</v>
      </c>
      <c r="C26" s="51">
        <v>177.45</v>
      </c>
      <c r="D26" s="51">
        <v>195</v>
      </c>
      <c r="E26" s="132">
        <f t="shared" si="5"/>
        <v>17.550000000000011</v>
      </c>
      <c r="F26" s="114">
        <f>_xlfn.XLOOKUP(A26,'XT5 Ref'!A:A,'XT5 Ref'!B:B,"")</f>
        <v>0.1</v>
      </c>
      <c r="G26" s="61">
        <f t="shared" si="8"/>
        <v>13.125</v>
      </c>
      <c r="H26" s="34">
        <f t="shared" si="9"/>
        <v>30.675000000000011</v>
      </c>
      <c r="I26" s="60">
        <f t="shared" si="10"/>
        <v>0.1728655959425191</v>
      </c>
    </row>
    <row r="27" spans="1:9" ht="15.75" thickBot="1" x14ac:dyDescent="0.3">
      <c r="A27" s="50" t="s">
        <v>40</v>
      </c>
      <c r="B27" s="109" t="s">
        <v>208</v>
      </c>
      <c r="C27" s="51">
        <v>113.75</v>
      </c>
      <c r="D27" s="51">
        <v>125</v>
      </c>
      <c r="E27" s="132">
        <f t="shared" si="5"/>
        <v>11.25</v>
      </c>
      <c r="F27" s="114">
        <f>_xlfn.XLOOKUP(A27,'XT5 Ref'!A:A,'XT5 Ref'!B:B,"")</f>
        <v>0.1</v>
      </c>
      <c r="G27" s="61">
        <f t="shared" si="8"/>
        <v>13.125</v>
      </c>
      <c r="H27" s="34">
        <f t="shared" si="9"/>
        <v>24.375</v>
      </c>
      <c r="I27" s="60">
        <f t="shared" si="10"/>
        <v>0.21428571428571427</v>
      </c>
    </row>
    <row r="28" spans="1:9" x14ac:dyDescent="0.25">
      <c r="A28" s="50" t="s">
        <v>13</v>
      </c>
      <c r="B28" s="109" t="s">
        <v>209</v>
      </c>
      <c r="C28" s="51">
        <v>86.45</v>
      </c>
      <c r="D28" s="51">
        <v>95</v>
      </c>
      <c r="E28" s="132">
        <f t="shared" si="5"/>
        <v>8.5499999999999972</v>
      </c>
      <c r="F28" s="114">
        <f>_xlfn.XLOOKUP(A28,'XT5 Ref'!A:A,'XT5 Ref'!B:B,"")</f>
        <v>0.1</v>
      </c>
      <c r="G28" s="61">
        <f t="shared" si="8"/>
        <v>13.125</v>
      </c>
      <c r="H28" s="34">
        <f t="shared" si="9"/>
        <v>21.674999999999997</v>
      </c>
      <c r="I28" s="60">
        <f t="shared" si="10"/>
        <v>0.25072296124927701</v>
      </c>
    </row>
  </sheetData>
  <autoFilter ref="A4:I4" xr:uid="{00000000-0001-0000-0A00-000000000000}"/>
  <sortState xmlns:xlrd2="http://schemas.microsoft.com/office/spreadsheetml/2017/richdata2" ref="A12:I16">
    <sortCondition descending="1" ref="I12:I16"/>
  </sortState>
  <mergeCells count="4">
    <mergeCell ref="A1:I1"/>
    <mergeCell ref="C3:E3"/>
    <mergeCell ref="F3:G3"/>
    <mergeCell ref="H3:I3"/>
  </mergeCells>
  <printOptions horizontalCentered="1"/>
  <pageMargins left="0.25" right="0.25" top="0.75" bottom="0.75" header="0.3" footer="0.3"/>
  <pageSetup scale="92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2A335-661B-4225-977F-14BF13DE3020}">
  <sheetPr codeName="Sheet16">
    <tabColor theme="4" tint="-0.249977111117893"/>
  </sheetPr>
  <dimension ref="A1:L73"/>
  <sheetViews>
    <sheetView topLeftCell="A10" workbookViewId="0">
      <selection activeCell="U50" sqref="U50"/>
    </sheetView>
  </sheetViews>
  <sheetFormatPr defaultRowHeight="15" x14ac:dyDescent="0.25"/>
  <sheetData>
    <row r="1" spans="1:12" x14ac:dyDescent="0.25">
      <c r="A1" t="s">
        <v>246</v>
      </c>
      <c r="B1">
        <v>1</v>
      </c>
    </row>
    <row r="2" spans="1:12" x14ac:dyDescent="0.25">
      <c r="A2" t="s">
        <v>188</v>
      </c>
      <c r="B2">
        <v>0.8</v>
      </c>
    </row>
    <row r="3" spans="1:12" x14ac:dyDescent="0.25">
      <c r="A3" t="s">
        <v>247</v>
      </c>
      <c r="B3">
        <v>0.5</v>
      </c>
    </row>
    <row r="4" spans="1:12" x14ac:dyDescent="0.25">
      <c r="A4" t="s">
        <v>17</v>
      </c>
      <c r="B4">
        <v>0.4</v>
      </c>
    </row>
    <row r="5" spans="1:12" x14ac:dyDescent="0.25">
      <c r="A5" t="s">
        <v>58</v>
      </c>
      <c r="B5">
        <v>0.3</v>
      </c>
    </row>
    <row r="6" spans="1:12" x14ac:dyDescent="0.25">
      <c r="A6" t="s">
        <v>52</v>
      </c>
      <c r="B6">
        <v>0.5</v>
      </c>
    </row>
    <row r="7" spans="1:12" x14ac:dyDescent="0.25">
      <c r="A7" t="s">
        <v>167</v>
      </c>
      <c r="B7">
        <v>1.7</v>
      </c>
    </row>
    <row r="8" spans="1:12" x14ac:dyDescent="0.25">
      <c r="A8" t="s">
        <v>12</v>
      </c>
      <c r="B8">
        <v>1.6</v>
      </c>
    </row>
    <row r="9" spans="1:12" x14ac:dyDescent="0.25">
      <c r="A9" t="s">
        <v>21</v>
      </c>
      <c r="B9">
        <v>1.4</v>
      </c>
      <c r="K9" s="58"/>
      <c r="L9" s="58"/>
    </row>
    <row r="10" spans="1:12" x14ac:dyDescent="0.25">
      <c r="A10" t="s">
        <v>86</v>
      </c>
      <c r="B10">
        <v>1</v>
      </c>
      <c r="K10" s="57"/>
      <c r="L10" s="57"/>
    </row>
    <row r="11" spans="1:12" x14ac:dyDescent="0.25">
      <c r="A11" t="s">
        <v>10</v>
      </c>
      <c r="B11">
        <v>1</v>
      </c>
      <c r="K11" s="57"/>
      <c r="L11" s="57"/>
    </row>
    <row r="12" spans="1:12" x14ac:dyDescent="0.25">
      <c r="A12" t="s">
        <v>40</v>
      </c>
      <c r="B12">
        <v>0.1</v>
      </c>
      <c r="K12" s="57"/>
      <c r="L12" s="57"/>
    </row>
    <row r="13" spans="1:12" x14ac:dyDescent="0.25">
      <c r="A13" t="s">
        <v>153</v>
      </c>
      <c r="B13">
        <v>0.3</v>
      </c>
      <c r="K13" s="57"/>
      <c r="L13" s="57"/>
    </row>
    <row r="14" spans="1:12" x14ac:dyDescent="0.25">
      <c r="A14" t="s">
        <v>61</v>
      </c>
      <c r="B14">
        <v>0.5</v>
      </c>
      <c r="K14" s="57"/>
      <c r="L14" s="57"/>
    </row>
    <row r="15" spans="1:12" x14ac:dyDescent="0.25">
      <c r="A15" t="s">
        <v>57</v>
      </c>
      <c r="B15">
        <v>0.5</v>
      </c>
      <c r="K15" s="57"/>
      <c r="L15" s="57"/>
    </row>
    <row r="16" spans="1:12" x14ac:dyDescent="0.25">
      <c r="A16" t="s">
        <v>30</v>
      </c>
      <c r="B16">
        <v>0.1</v>
      </c>
      <c r="K16" s="57"/>
      <c r="L16" s="57"/>
    </row>
    <row r="17" spans="1:8" x14ac:dyDescent="0.25">
      <c r="A17" t="s">
        <v>37</v>
      </c>
      <c r="B17">
        <v>0.1</v>
      </c>
    </row>
    <row r="18" spans="1:8" x14ac:dyDescent="0.25">
      <c r="A18" t="s">
        <v>22</v>
      </c>
      <c r="B18">
        <v>1</v>
      </c>
    </row>
    <row r="19" spans="1:8" x14ac:dyDescent="0.25">
      <c r="A19" t="s">
        <v>46</v>
      </c>
      <c r="B19">
        <v>0.1</v>
      </c>
    </row>
    <row r="20" spans="1:8" x14ac:dyDescent="0.25">
      <c r="A20" t="s">
        <v>34</v>
      </c>
      <c r="B20">
        <v>0.1</v>
      </c>
    </row>
    <row r="21" spans="1:8" x14ac:dyDescent="0.25">
      <c r="A21" t="s">
        <v>248</v>
      </c>
      <c r="B21">
        <v>0.1</v>
      </c>
    </row>
    <row r="22" spans="1:8" x14ac:dyDescent="0.25">
      <c r="A22" t="s">
        <v>39</v>
      </c>
      <c r="B22">
        <v>0.1</v>
      </c>
    </row>
    <row r="23" spans="1:8" x14ac:dyDescent="0.25">
      <c r="A23" t="s">
        <v>222</v>
      </c>
      <c r="B23">
        <v>0.1</v>
      </c>
    </row>
    <row r="24" spans="1:8" x14ac:dyDescent="0.25">
      <c r="A24" t="s">
        <v>13</v>
      </c>
      <c r="B24">
        <v>0.1</v>
      </c>
    </row>
    <row r="25" spans="1:8" x14ac:dyDescent="0.25">
      <c r="A25" t="s">
        <v>249</v>
      </c>
      <c r="B25">
        <v>1</v>
      </c>
      <c r="G25" s="179"/>
      <c r="H25" s="143"/>
    </row>
    <row r="26" spans="1:8" x14ac:dyDescent="0.25">
      <c r="A26" t="s">
        <v>71</v>
      </c>
      <c r="B26">
        <v>1</v>
      </c>
      <c r="G26" s="179"/>
      <c r="H26" s="143"/>
    </row>
    <row r="27" spans="1:8" x14ac:dyDescent="0.25">
      <c r="A27" t="s">
        <v>72</v>
      </c>
      <c r="B27">
        <v>0.1</v>
      </c>
      <c r="G27" s="179"/>
      <c r="H27" s="143"/>
    </row>
    <row r="28" spans="1:8" x14ac:dyDescent="0.25">
      <c r="A28" t="s">
        <v>199</v>
      </c>
      <c r="B28">
        <v>0.8</v>
      </c>
      <c r="G28" s="179"/>
      <c r="H28" s="143"/>
    </row>
    <row r="29" spans="1:8" x14ac:dyDescent="0.25">
      <c r="A29" t="s">
        <v>15</v>
      </c>
      <c r="B29">
        <v>0.1</v>
      </c>
      <c r="G29" s="179"/>
      <c r="H29" s="143"/>
    </row>
    <row r="30" spans="1:8" x14ac:dyDescent="0.25">
      <c r="A30" s="179" t="s">
        <v>20</v>
      </c>
      <c r="B30">
        <f ca="1">+OFFSET(S2K,0,1)+OFFSET(SPY,0,1)+OFFSET(SPZ,0,1)+OFFSET(E5K,0,1)+OFFSET(VNI,0,1)+OFFSET(VMP,0,1)+OFFSET(RIK,0,1)+OFFSET(SFZ,0,1)</f>
        <v>5.9</v>
      </c>
      <c r="G30" s="179"/>
      <c r="H30" s="143"/>
    </row>
    <row r="31" spans="1:8" x14ac:dyDescent="0.25">
      <c r="A31" s="179" t="s">
        <v>9</v>
      </c>
      <c r="B31" cm="1">
        <f t="array" aca="1" ref="B31" ca="1">+OFFSET(S2K,0,1)+OFFSET(SPY,0,1)+OFFSET(SPZ,0,1)+OFFSET(_5HR,0,1)+OFFSET(E5K,0,1)+OFFSET(VNI,0,1)+OFFSET(_qj5,0,1)+OFFSET(_sj9,0,1)+OFFSET(RIK,0,1)+OFFSET(SFZ,0,1)+OFFSET(VMP,0,1)</f>
        <v>8.8000000000000007</v>
      </c>
      <c r="G31" s="179"/>
      <c r="H31" s="143"/>
    </row>
    <row r="32" spans="1:8" x14ac:dyDescent="0.25">
      <c r="A32" s="179" t="s">
        <v>49</v>
      </c>
      <c r="B32">
        <f ca="1">+OFFSET(CAV,0,1)+OFFSET(VAV,0,1)</f>
        <v>0.2</v>
      </c>
      <c r="G32" s="179"/>
      <c r="H32" s="143"/>
    </row>
    <row r="33" spans="1:2" x14ac:dyDescent="0.25">
      <c r="A33" s="179" t="s">
        <v>33</v>
      </c>
      <c r="B33">
        <f ca="1">+OFFSET(CAV,0,1)+OFFSET(RIA,0,1)</f>
        <v>0.2</v>
      </c>
    </row>
    <row r="34" spans="1:2" x14ac:dyDescent="0.25">
      <c r="A34" s="179" t="s">
        <v>19</v>
      </c>
      <c r="B34">
        <f ca="1">+OFFSET(_sb9,0,1)+OFFSET(SFZ,0,1)+OFFSET(S2K,0,1)+OFFSET(SPY,0,1)+OFFSET(SPZ,0,1)</f>
        <v>3.2000000000000006</v>
      </c>
    </row>
    <row r="35" spans="1:2" x14ac:dyDescent="0.25">
      <c r="A35" s="179" t="s">
        <v>74</v>
      </c>
      <c r="B35">
        <f ca="1">+OFFSET(_sb9,0,1)+OFFSET(SFZ,0,1)+OFFSET(S2K,0,1)+OFFSET(SPY,0,1)+OFFSET(SPZ,0,1)</f>
        <v>3.2000000000000006</v>
      </c>
    </row>
    <row r="36" spans="1:2" x14ac:dyDescent="0.25">
      <c r="A36" s="179" t="s">
        <v>149</v>
      </c>
      <c r="B36">
        <f ca="1">+OFFSET(_sb9,0,1)+OFFSET(SFZ,0,1)+OFFSET(S2K,0,1)+OFFSET(SPY,0,1)+OFFSET(SPZ,0,1)</f>
        <v>3.2000000000000006</v>
      </c>
    </row>
    <row r="37" spans="1:2" x14ac:dyDescent="0.25">
      <c r="A37" s="179" t="s">
        <v>26</v>
      </c>
      <c r="B37">
        <f ca="1">+OFFSET(VYW,0,1)+OFFSET(W0A,0,1)</f>
        <v>0.2</v>
      </c>
    </row>
    <row r="38" spans="1:2" x14ac:dyDescent="0.25">
      <c r="A38" s="224" t="s">
        <v>63</v>
      </c>
      <c r="B38">
        <v>0.2</v>
      </c>
    </row>
    <row r="39" spans="1:2" x14ac:dyDescent="0.25">
      <c r="A39" s="224" t="s">
        <v>53</v>
      </c>
      <c r="B39">
        <v>0.1</v>
      </c>
    </row>
    <row r="66" spans="1:1" x14ac:dyDescent="0.25">
      <c r="A66" s="58"/>
    </row>
    <row r="67" spans="1:1" x14ac:dyDescent="0.25">
      <c r="A67" s="57"/>
    </row>
    <row r="68" spans="1:1" x14ac:dyDescent="0.25">
      <c r="A68" s="57"/>
    </row>
    <row r="69" spans="1:1" x14ac:dyDescent="0.25">
      <c r="A69" s="57"/>
    </row>
    <row r="70" spans="1:1" x14ac:dyDescent="0.25">
      <c r="A70" s="57"/>
    </row>
    <row r="71" spans="1:1" x14ac:dyDescent="0.25">
      <c r="A71" s="57"/>
    </row>
    <row r="72" spans="1:1" x14ac:dyDescent="0.25">
      <c r="A72" s="57"/>
    </row>
    <row r="73" spans="1:1" x14ac:dyDescent="0.25">
      <c r="A73" s="57"/>
    </row>
  </sheetData>
  <sortState xmlns:xlrd2="http://schemas.microsoft.com/office/spreadsheetml/2017/richdata2" ref="A1:B66">
    <sortCondition ref="A1:A66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  <pageSetUpPr fitToPage="1"/>
  </sheetPr>
  <dimension ref="A1:L26"/>
  <sheetViews>
    <sheetView zoomScaleNormal="100" workbookViewId="0">
      <pane xSplit="9" ySplit="4" topLeftCell="J5" activePane="bottomRight" state="frozen"/>
      <selection activeCell="U50" sqref="U50"/>
      <selection pane="topRight" activeCell="U50" sqref="U50"/>
      <selection pane="bottomLeft" activeCell="U50" sqref="U50"/>
      <selection pane="bottomRight" activeCell="G22" sqref="G22:I26"/>
    </sheetView>
  </sheetViews>
  <sheetFormatPr defaultRowHeight="15" x14ac:dyDescent="0.25"/>
  <cols>
    <col min="1" max="1" width="8.7109375" style="6" customWidth="1"/>
    <col min="2" max="2" width="67.85546875" style="59" customWidth="1"/>
    <col min="3" max="4" width="12.7109375" style="14" customWidth="1"/>
    <col min="5" max="5" width="12.7109375" style="15" customWidth="1"/>
    <col min="6" max="6" width="12.7109375" style="9" customWidth="1"/>
    <col min="7" max="7" width="12.7109375" style="14" customWidth="1"/>
    <col min="8" max="8" width="12.7109375" style="16" customWidth="1"/>
    <col min="9" max="9" width="12.7109375" style="2" customWidth="1"/>
    <col min="10" max="10" width="7.28515625" customWidth="1"/>
    <col min="11" max="11" width="28.140625" customWidth="1"/>
  </cols>
  <sheetData>
    <row r="1" spans="1:12" ht="24" thickBot="1" x14ac:dyDescent="0.4">
      <c r="A1" s="251" t="s">
        <v>119</v>
      </c>
      <c r="B1" s="251"/>
      <c r="C1" s="251"/>
      <c r="D1" s="251"/>
      <c r="E1" s="251"/>
      <c r="F1" s="251"/>
      <c r="G1" s="251"/>
      <c r="H1" s="251"/>
      <c r="I1" s="252"/>
    </row>
    <row r="2" spans="1:12" ht="30" customHeight="1" thickBot="1" x14ac:dyDescent="0.3">
      <c r="A2" s="47"/>
      <c r="B2" s="68"/>
      <c r="C2" s="48"/>
      <c r="D2" s="48"/>
      <c r="E2" s="48"/>
      <c r="F2" s="48"/>
      <c r="G2" s="48"/>
      <c r="H2" s="48"/>
      <c r="I2" s="49"/>
    </row>
    <row r="3" spans="1:12" ht="15.75" thickBot="1" x14ac:dyDescent="0.3">
      <c r="A3" s="256"/>
      <c r="B3" s="257"/>
      <c r="C3" s="253" t="s">
        <v>81</v>
      </c>
      <c r="D3" s="255"/>
      <c r="E3" s="254"/>
      <c r="F3" s="255" t="s">
        <v>82</v>
      </c>
      <c r="G3" s="254"/>
      <c r="H3" s="253" t="s">
        <v>83</v>
      </c>
      <c r="I3" s="254"/>
    </row>
    <row r="4" spans="1:12" ht="45.75" thickBot="1" x14ac:dyDescent="0.3">
      <c r="A4" s="32" t="s">
        <v>0</v>
      </c>
      <c r="B4" s="30" t="s">
        <v>1</v>
      </c>
      <c r="C4" s="66" t="s">
        <v>3</v>
      </c>
      <c r="D4" s="67" t="s">
        <v>4</v>
      </c>
      <c r="E4" s="36" t="s">
        <v>6</v>
      </c>
      <c r="F4" s="24" t="s">
        <v>2</v>
      </c>
      <c r="G4" s="37" t="s">
        <v>5</v>
      </c>
      <c r="H4" s="38" t="s">
        <v>7</v>
      </c>
      <c r="I4" s="25" t="s">
        <v>8</v>
      </c>
    </row>
    <row r="5" spans="1:12" ht="17.100000000000001" customHeight="1" thickBot="1" x14ac:dyDescent="0.3">
      <c r="A5" s="152" t="s">
        <v>9</v>
      </c>
      <c r="B5" s="139" t="s">
        <v>287</v>
      </c>
      <c r="C5" s="102">
        <v>4545.45</v>
      </c>
      <c r="D5" s="102">
        <v>4995</v>
      </c>
      <c r="E5" s="62">
        <f t="shared" ref="E5:E13" si="0">D5-C5</f>
        <v>449.55000000000018</v>
      </c>
      <c r="F5" s="44">
        <f ca="1">_xlfn.XLOOKUP(A5,'Escalade Ref'!A:A,'Escalade Ref'!B:B,"")</f>
        <v>2</v>
      </c>
      <c r="G5" s="61">
        <f t="shared" ref="G5:G22" ca="1" si="1">(F5*Labor)*SvcGross</f>
        <v>262.5</v>
      </c>
      <c r="H5" s="40">
        <f t="shared" ref="H5:H12" ca="1" si="2">G5+E5</f>
        <v>712.05000000000018</v>
      </c>
      <c r="I5" s="60">
        <f t="shared" ref="I5:I14" ca="1" si="3">H5/C5</f>
        <v>0.1566511566511567</v>
      </c>
    </row>
    <row r="6" spans="1:12" ht="17.100000000000001" customHeight="1" thickBot="1" x14ac:dyDescent="0.3">
      <c r="A6" s="152" t="s">
        <v>49</v>
      </c>
      <c r="B6" s="139" t="s">
        <v>288</v>
      </c>
      <c r="C6" s="102">
        <v>541.45000000000005</v>
      </c>
      <c r="D6" s="102">
        <v>595</v>
      </c>
      <c r="E6" s="62">
        <f t="shared" si="0"/>
        <v>53.549999999999955</v>
      </c>
      <c r="F6" s="44">
        <f ca="1">_xlfn.XLOOKUP(A6,'Escalade Ref'!A:A,'Escalade Ref'!B:B,"")</f>
        <v>0.30000000000000004</v>
      </c>
      <c r="G6" s="61">
        <f t="shared" ca="1" si="1"/>
        <v>39.375000000000007</v>
      </c>
      <c r="H6" s="40">
        <f t="shared" ca="1" si="2"/>
        <v>92.924999999999955</v>
      </c>
      <c r="I6" s="60">
        <f t="shared" ca="1" si="3"/>
        <v>0.17162249515190681</v>
      </c>
    </row>
    <row r="7" spans="1:12" ht="17.100000000000001" customHeight="1" thickBot="1" x14ac:dyDescent="0.3">
      <c r="A7" s="152" t="s">
        <v>33</v>
      </c>
      <c r="B7" s="139" t="s">
        <v>289</v>
      </c>
      <c r="C7" s="102">
        <v>450.45</v>
      </c>
      <c r="D7" s="102">
        <v>495</v>
      </c>
      <c r="E7" s="62">
        <f t="shared" si="0"/>
        <v>44.550000000000011</v>
      </c>
      <c r="F7" s="44">
        <f ca="1">_xlfn.XLOOKUP(A7,'Escalade Ref'!A:A,'Escalade Ref'!B:B,"")</f>
        <v>0.4</v>
      </c>
      <c r="G7" s="61">
        <f t="shared" ca="1" si="1"/>
        <v>52.5</v>
      </c>
      <c r="H7" s="40">
        <f t="shared" ca="1" si="2"/>
        <v>97.050000000000011</v>
      </c>
      <c r="I7" s="60">
        <f t="shared" ca="1" si="3"/>
        <v>0.21545121545121548</v>
      </c>
    </row>
    <row r="8" spans="1:12" ht="15.75" customHeight="1" thickBot="1" x14ac:dyDescent="0.3">
      <c r="A8" s="152" t="s">
        <v>11</v>
      </c>
      <c r="B8" s="139" t="s">
        <v>290</v>
      </c>
      <c r="C8" s="102">
        <v>5273.45</v>
      </c>
      <c r="D8" s="102">
        <v>5795</v>
      </c>
      <c r="E8" s="62">
        <f t="shared" si="0"/>
        <v>521.55000000000018</v>
      </c>
      <c r="F8" s="44">
        <f ca="1">_xlfn.XLOOKUP(A8,'Escalade Ref'!A:A,'Escalade Ref'!B:B,"")</f>
        <v>3.3</v>
      </c>
      <c r="G8" s="61">
        <f t="shared" ca="1" si="1"/>
        <v>433.125</v>
      </c>
      <c r="H8" s="40">
        <f t="shared" ca="1" si="2"/>
        <v>954.67500000000018</v>
      </c>
      <c r="I8" s="60">
        <f t="shared" ca="1" si="3"/>
        <v>0.181034237548474</v>
      </c>
    </row>
    <row r="9" spans="1:12" ht="15" customHeight="1" thickBot="1" x14ac:dyDescent="0.3">
      <c r="A9" s="50" t="s">
        <v>45</v>
      </c>
      <c r="B9" s="109" t="s">
        <v>109</v>
      </c>
      <c r="C9" s="144">
        <v>273</v>
      </c>
      <c r="D9" s="144">
        <v>300</v>
      </c>
      <c r="E9" s="62">
        <f>D9-C9</f>
        <v>27</v>
      </c>
      <c r="F9" s="44">
        <f>_xlfn.XLOOKUP(A9,'Escalade Ref'!A:A,'Escalade Ref'!B:B,"")</f>
        <v>0.2</v>
      </c>
      <c r="G9" s="61">
        <f>(F9*Labor)*SvcGross</f>
        <v>26.25</v>
      </c>
      <c r="H9" s="40">
        <f>G9+E9</f>
        <v>53.25</v>
      </c>
      <c r="I9" s="60">
        <f>H9/C9</f>
        <v>0.19505494505494506</v>
      </c>
    </row>
    <row r="10" spans="1:12" ht="15.75" thickBot="1" x14ac:dyDescent="0.3">
      <c r="A10" s="50" t="s">
        <v>68</v>
      </c>
      <c r="B10" s="109" t="s">
        <v>108</v>
      </c>
      <c r="C10" s="144">
        <v>3412.5</v>
      </c>
      <c r="D10" s="144">
        <v>3750</v>
      </c>
      <c r="E10" s="62">
        <f>D10-C10</f>
        <v>337.5</v>
      </c>
      <c r="F10" s="44">
        <f>_xlfn.XLOOKUP(A10,'Escalade Ref'!A:A,'Escalade Ref'!B:B,"")</f>
        <v>2.8</v>
      </c>
      <c r="G10" s="61">
        <f>(F10*Labor)*SvcGross</f>
        <v>367.49999999999994</v>
      </c>
      <c r="H10" s="33">
        <f>G10+E10</f>
        <v>705</v>
      </c>
      <c r="I10" s="60">
        <f>H10/C10</f>
        <v>0.20659340659340658</v>
      </c>
    </row>
    <row r="11" spans="1:12" ht="17.100000000000001" customHeight="1" thickBot="1" x14ac:dyDescent="0.3">
      <c r="A11" s="50" t="s">
        <v>14</v>
      </c>
      <c r="B11" s="109" t="s">
        <v>212</v>
      </c>
      <c r="C11" s="144">
        <v>541.45000000000005</v>
      </c>
      <c r="D11" s="144">
        <v>595</v>
      </c>
      <c r="E11" s="62">
        <f t="shared" si="0"/>
        <v>53.549999999999955</v>
      </c>
      <c r="F11" s="44">
        <f>_xlfn.XLOOKUP(A11,'Escalade Ref'!A:A,'Escalade Ref'!B:B,"")</f>
        <v>1</v>
      </c>
      <c r="G11" s="61">
        <f t="shared" si="1"/>
        <v>131.25</v>
      </c>
      <c r="H11" s="40">
        <f t="shared" si="2"/>
        <v>184.79999999999995</v>
      </c>
      <c r="I11" s="60">
        <f t="shared" si="3"/>
        <v>0.34130575307045885</v>
      </c>
    </row>
    <row r="12" spans="1:12" ht="17.100000000000001" customHeight="1" thickBot="1" x14ac:dyDescent="0.3">
      <c r="A12" s="50" t="s">
        <v>36</v>
      </c>
      <c r="B12" s="109" t="s">
        <v>51</v>
      </c>
      <c r="C12" s="144">
        <v>136.5</v>
      </c>
      <c r="D12" s="144">
        <v>150</v>
      </c>
      <c r="E12" s="186">
        <f t="shared" si="0"/>
        <v>13.5</v>
      </c>
      <c r="F12" s="24">
        <f>_xlfn.XLOOKUP(A12,'Escalade Ref'!A:A,'Escalade Ref'!B:B,"")</f>
        <v>0.1</v>
      </c>
      <c r="G12" s="187">
        <f t="shared" si="1"/>
        <v>13.125</v>
      </c>
      <c r="H12" s="35">
        <f t="shared" si="2"/>
        <v>26.625</v>
      </c>
      <c r="I12" s="25">
        <f t="shared" si="3"/>
        <v>0.19505494505494506</v>
      </c>
    </row>
    <row r="13" spans="1:12" ht="15.75" thickBot="1" x14ac:dyDescent="0.3">
      <c r="A13" s="50" t="s">
        <v>24</v>
      </c>
      <c r="B13" s="109" t="s">
        <v>98</v>
      </c>
      <c r="C13" s="144">
        <v>632.45000000000005</v>
      </c>
      <c r="D13" s="144">
        <v>695</v>
      </c>
      <c r="E13" s="188">
        <f t="shared" si="0"/>
        <v>62.549999999999955</v>
      </c>
      <c r="F13" s="63">
        <f>_xlfn.XLOOKUP(A13,'Escalade Ref'!A:A,'Escalade Ref'!B:B,"")</f>
        <v>1.5</v>
      </c>
      <c r="G13" s="189">
        <f t="shared" si="1"/>
        <v>196.875</v>
      </c>
      <c r="H13" s="39">
        <f t="shared" ref="H13" si="4">G13+E13</f>
        <v>259.42499999999995</v>
      </c>
      <c r="I13" s="64">
        <f t="shared" si="3"/>
        <v>0.41019052889556479</v>
      </c>
      <c r="K13" s="29"/>
      <c r="L13" s="29"/>
    </row>
    <row r="14" spans="1:12" ht="15.75" thickBot="1" x14ac:dyDescent="0.3">
      <c r="A14" s="50" t="s">
        <v>58</v>
      </c>
      <c r="B14" s="109" t="s">
        <v>213</v>
      </c>
      <c r="C14" s="144">
        <v>136.5</v>
      </c>
      <c r="D14" s="144">
        <v>150</v>
      </c>
      <c r="E14" s="62">
        <f t="shared" ref="E14:E26" si="5">D14-C14</f>
        <v>13.5</v>
      </c>
      <c r="F14" s="44">
        <f>_xlfn.XLOOKUP(A14,'Escalade Ref'!A:A,'Escalade Ref'!B:B,"")</f>
        <v>0.1</v>
      </c>
      <c r="G14" s="61">
        <f t="shared" si="1"/>
        <v>13.125</v>
      </c>
      <c r="H14" s="33">
        <f t="shared" ref="H14:H19" si="6">G14+E14</f>
        <v>26.625</v>
      </c>
      <c r="I14" s="60">
        <f t="shared" si="3"/>
        <v>0.19505494505494506</v>
      </c>
    </row>
    <row r="15" spans="1:12" s="19" customFormat="1" ht="17.25" customHeight="1" thickBot="1" x14ac:dyDescent="0.3">
      <c r="A15" s="50" t="s">
        <v>18</v>
      </c>
      <c r="B15" s="109" t="s">
        <v>25</v>
      </c>
      <c r="C15" s="144">
        <v>177.45</v>
      </c>
      <c r="D15" s="144">
        <v>195</v>
      </c>
      <c r="E15" s="62">
        <f t="shared" si="5"/>
        <v>17.550000000000011</v>
      </c>
      <c r="F15" s="44">
        <f>_xlfn.XLOOKUP(A15,'Escalade Ref'!A:A,'Escalade Ref'!B:B,"")</f>
        <v>0.4</v>
      </c>
      <c r="G15" s="61">
        <f t="shared" si="1"/>
        <v>52.5</v>
      </c>
      <c r="H15" s="39">
        <f t="shared" si="6"/>
        <v>70.050000000000011</v>
      </c>
      <c r="I15" s="60">
        <f t="shared" ref="I15:I22" si="7">H15/C15</f>
        <v>0.39475908706677948</v>
      </c>
    </row>
    <row r="16" spans="1:12" ht="15.75" thickBot="1" x14ac:dyDescent="0.3">
      <c r="A16" s="50" t="s">
        <v>54</v>
      </c>
      <c r="B16" s="109" t="s">
        <v>110</v>
      </c>
      <c r="C16" s="144">
        <v>177.45</v>
      </c>
      <c r="D16" s="144">
        <v>195</v>
      </c>
      <c r="E16" s="62">
        <f t="shared" si="5"/>
        <v>17.550000000000011</v>
      </c>
      <c r="F16" s="44">
        <f>_xlfn.XLOOKUP(A16,'Escalade Ref'!A:A,'Escalade Ref'!B:B,"")</f>
        <v>0.1</v>
      </c>
      <c r="G16" s="61">
        <f t="shared" si="1"/>
        <v>13.125</v>
      </c>
      <c r="H16" s="39">
        <f t="shared" si="6"/>
        <v>30.675000000000011</v>
      </c>
      <c r="I16" s="60">
        <f t="shared" si="7"/>
        <v>0.1728655959425191</v>
      </c>
    </row>
    <row r="17" spans="1:9" ht="17.100000000000001" customHeight="1" thickBot="1" x14ac:dyDescent="0.3">
      <c r="A17" s="50" t="s">
        <v>15</v>
      </c>
      <c r="B17" s="109" t="s">
        <v>214</v>
      </c>
      <c r="C17" s="144">
        <v>113.75</v>
      </c>
      <c r="D17" s="144">
        <v>125</v>
      </c>
      <c r="E17" s="62">
        <f t="shared" si="5"/>
        <v>11.25</v>
      </c>
      <c r="F17" s="44">
        <f>_xlfn.XLOOKUP(A17,'Escalade Ref'!A:A,'Escalade Ref'!B:B,"")</f>
        <v>0.1</v>
      </c>
      <c r="G17" s="61">
        <f t="shared" si="1"/>
        <v>13.125</v>
      </c>
      <c r="H17" s="40">
        <f t="shared" si="6"/>
        <v>24.375</v>
      </c>
      <c r="I17" s="60">
        <f t="shared" si="7"/>
        <v>0.21428571428571427</v>
      </c>
    </row>
    <row r="18" spans="1:9" ht="17.100000000000001" customHeight="1" thickBot="1" x14ac:dyDescent="0.3">
      <c r="A18" s="50" t="s">
        <v>59</v>
      </c>
      <c r="B18" s="109" t="s">
        <v>111</v>
      </c>
      <c r="C18" s="144">
        <v>113.75</v>
      </c>
      <c r="D18" s="144">
        <v>125</v>
      </c>
      <c r="E18" s="62">
        <f t="shared" si="5"/>
        <v>11.25</v>
      </c>
      <c r="F18" s="44">
        <f>_xlfn.XLOOKUP(A18,'Escalade Ref'!A:A,'Escalade Ref'!B:B,"")</f>
        <v>0.1</v>
      </c>
      <c r="G18" s="61">
        <f t="shared" si="1"/>
        <v>13.125</v>
      </c>
      <c r="H18" s="40">
        <f t="shared" si="6"/>
        <v>24.375</v>
      </c>
      <c r="I18" s="60">
        <f t="shared" si="7"/>
        <v>0.21428571428571427</v>
      </c>
    </row>
    <row r="19" spans="1:9" ht="17.100000000000001" customHeight="1" thickBot="1" x14ac:dyDescent="0.3">
      <c r="A19" s="50" t="s">
        <v>112</v>
      </c>
      <c r="B19" s="109" t="s">
        <v>113</v>
      </c>
      <c r="C19" s="144">
        <v>3230.5</v>
      </c>
      <c r="D19" s="144">
        <v>3550</v>
      </c>
      <c r="E19" s="62">
        <f t="shared" si="5"/>
        <v>319.5</v>
      </c>
      <c r="F19" s="44">
        <f>_xlfn.XLOOKUP(A19,'Escalade Ref'!A:A,'Escalade Ref'!B:B,"")</f>
        <v>0.8</v>
      </c>
      <c r="G19" s="61">
        <f t="shared" si="1"/>
        <v>105</v>
      </c>
      <c r="H19" s="40">
        <f t="shared" si="6"/>
        <v>424.5</v>
      </c>
      <c r="I19" s="60">
        <f t="shared" si="7"/>
        <v>0.13140380746014549</v>
      </c>
    </row>
    <row r="20" spans="1:9" ht="17.100000000000001" customHeight="1" thickBot="1" x14ac:dyDescent="0.3">
      <c r="A20" s="50" t="s">
        <v>86</v>
      </c>
      <c r="B20" s="109" t="s">
        <v>114</v>
      </c>
      <c r="C20" s="144">
        <v>523.25</v>
      </c>
      <c r="D20" s="144">
        <v>575</v>
      </c>
      <c r="E20" s="62">
        <f t="shared" si="5"/>
        <v>51.75</v>
      </c>
      <c r="F20" s="44">
        <f>_xlfn.XLOOKUP(A20,'Escalade Ref'!A:A,'Escalade Ref'!B:B,"")</f>
        <v>0.8</v>
      </c>
      <c r="G20" s="61">
        <f t="shared" si="1"/>
        <v>105</v>
      </c>
      <c r="H20" s="39">
        <f t="shared" ref="H20:H22" si="8">G20+E20</f>
        <v>156.75</v>
      </c>
      <c r="I20" s="60">
        <f t="shared" si="7"/>
        <v>0.29956999522216915</v>
      </c>
    </row>
    <row r="21" spans="1:9" ht="15.75" thickBot="1" x14ac:dyDescent="0.3">
      <c r="A21" s="50" t="s">
        <v>61</v>
      </c>
      <c r="B21" s="109" t="s">
        <v>115</v>
      </c>
      <c r="C21" s="144">
        <v>541.45000000000005</v>
      </c>
      <c r="D21" s="144">
        <v>595</v>
      </c>
      <c r="E21" s="62">
        <f t="shared" si="5"/>
        <v>53.549999999999955</v>
      </c>
      <c r="F21" s="44">
        <f>_xlfn.XLOOKUP(A21,'Escalade Ref'!A:A,'Escalade Ref'!B:B,"")</f>
        <v>0.3</v>
      </c>
      <c r="G21" s="61">
        <f t="shared" si="1"/>
        <v>39.375</v>
      </c>
      <c r="H21" s="39">
        <f t="shared" si="8"/>
        <v>92.924999999999955</v>
      </c>
      <c r="I21" s="60">
        <f t="shared" si="7"/>
        <v>0.17162249515190681</v>
      </c>
    </row>
    <row r="22" spans="1:9" ht="15.75" thickBot="1" x14ac:dyDescent="0.3">
      <c r="A22" s="50" t="s">
        <v>39</v>
      </c>
      <c r="B22" s="109" t="s">
        <v>116</v>
      </c>
      <c r="C22" s="144">
        <v>250.25</v>
      </c>
      <c r="D22" s="144">
        <v>275</v>
      </c>
      <c r="E22" s="62">
        <f t="shared" si="5"/>
        <v>24.75</v>
      </c>
      <c r="F22" s="44">
        <f>_xlfn.XLOOKUP(A22,'Escalade Ref'!A:A,'Escalade Ref'!B:B,"")</f>
        <v>0.1</v>
      </c>
      <c r="G22" s="189">
        <f t="shared" si="1"/>
        <v>13.125</v>
      </c>
      <c r="H22" s="34">
        <f t="shared" si="8"/>
        <v>37.875</v>
      </c>
      <c r="I22" s="60">
        <f t="shared" si="7"/>
        <v>0.15134865134865136</v>
      </c>
    </row>
    <row r="23" spans="1:9" ht="15.75" thickBot="1" x14ac:dyDescent="0.3">
      <c r="A23" s="50" t="s">
        <v>40</v>
      </c>
      <c r="B23" s="109" t="s">
        <v>117</v>
      </c>
      <c r="C23" s="144">
        <v>177.45</v>
      </c>
      <c r="D23" s="144">
        <v>195</v>
      </c>
      <c r="E23" s="62">
        <f t="shared" si="5"/>
        <v>17.550000000000011</v>
      </c>
      <c r="F23" s="44">
        <f>_xlfn.XLOOKUP(A23,'Escalade Ref'!A:A,'Escalade Ref'!B:B,"")</f>
        <v>0.1</v>
      </c>
      <c r="G23" s="189">
        <f t="shared" ref="G23:G26" si="9">(F23*Labor)*SvcGross</f>
        <v>13.125</v>
      </c>
      <c r="H23" s="34">
        <f t="shared" ref="H23:H26" si="10">G23+E23</f>
        <v>30.675000000000011</v>
      </c>
      <c r="I23" s="60">
        <f t="shared" ref="I23:I26" si="11">H23/C23</f>
        <v>0.1728655959425191</v>
      </c>
    </row>
    <row r="24" spans="1:9" ht="15.75" thickBot="1" x14ac:dyDescent="0.3">
      <c r="A24" s="50" t="s">
        <v>46</v>
      </c>
      <c r="B24" s="109" t="s">
        <v>64</v>
      </c>
      <c r="C24" s="144">
        <v>318.5</v>
      </c>
      <c r="D24" s="144">
        <v>350</v>
      </c>
      <c r="E24" s="62">
        <f t="shared" si="5"/>
        <v>31.5</v>
      </c>
      <c r="F24" s="44">
        <f>_xlfn.XLOOKUP(A24,'Escalade Ref'!A:A,'Escalade Ref'!B:B,"")</f>
        <v>0.1</v>
      </c>
      <c r="G24" s="189">
        <f t="shared" si="9"/>
        <v>13.125</v>
      </c>
      <c r="H24" s="34">
        <f t="shared" si="10"/>
        <v>44.625</v>
      </c>
      <c r="I24" s="60">
        <f t="shared" si="11"/>
        <v>0.14010989010989011</v>
      </c>
    </row>
    <row r="25" spans="1:9" ht="15.75" thickBot="1" x14ac:dyDescent="0.3">
      <c r="A25" s="50" t="s">
        <v>41</v>
      </c>
      <c r="B25" s="109" t="s">
        <v>70</v>
      </c>
      <c r="C25" s="144">
        <v>86.45</v>
      </c>
      <c r="D25" s="144">
        <v>95</v>
      </c>
      <c r="E25" s="62">
        <f t="shared" si="5"/>
        <v>8.5499999999999972</v>
      </c>
      <c r="F25" s="44">
        <f>_xlfn.XLOOKUP(A25,'Escalade Ref'!A:A,'Escalade Ref'!B:B,"")</f>
        <v>0.1</v>
      </c>
      <c r="G25" s="189">
        <f t="shared" si="9"/>
        <v>13.125</v>
      </c>
      <c r="H25" s="34">
        <f t="shared" si="10"/>
        <v>21.674999999999997</v>
      </c>
      <c r="I25" s="60">
        <f t="shared" si="11"/>
        <v>0.25072296124927701</v>
      </c>
    </row>
    <row r="26" spans="1:9" x14ac:dyDescent="0.25">
      <c r="A26" s="50" t="s">
        <v>60</v>
      </c>
      <c r="B26" s="109" t="s">
        <v>118</v>
      </c>
      <c r="C26" s="144">
        <v>2857.4</v>
      </c>
      <c r="D26" s="144">
        <v>3140</v>
      </c>
      <c r="E26" s="62">
        <f t="shared" si="5"/>
        <v>282.59999999999991</v>
      </c>
      <c r="F26" s="44">
        <f>_xlfn.XLOOKUP(A26,'Escalade Ref'!A:A,'Escalade Ref'!B:B,"")</f>
        <v>1.6</v>
      </c>
      <c r="G26" s="189">
        <f t="shared" si="9"/>
        <v>210</v>
      </c>
      <c r="H26" s="34">
        <f t="shared" si="10"/>
        <v>492.59999999999991</v>
      </c>
      <c r="I26" s="60">
        <f t="shared" si="11"/>
        <v>0.1723944844963953</v>
      </c>
    </row>
  </sheetData>
  <autoFilter ref="A4:I4" xr:uid="{00000000-0001-0000-0100-000000000000}"/>
  <sortState xmlns:xlrd2="http://schemas.microsoft.com/office/spreadsheetml/2017/richdata2" ref="A20:I26">
    <sortCondition descending="1" ref="I20:I26"/>
  </sortState>
  <mergeCells count="5">
    <mergeCell ref="A1:I1"/>
    <mergeCell ref="H3:I3"/>
    <mergeCell ref="C3:E3"/>
    <mergeCell ref="F3:G3"/>
    <mergeCell ref="A3:B3"/>
  </mergeCells>
  <phoneticPr fontId="3" type="noConversion"/>
  <pageMargins left="0.25" right="0.25" top="0.75" bottom="0.75" header="0.3" footer="0.3"/>
  <pageSetup scale="77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5E502-C51B-4D23-B2F0-54CCDA89C116}">
  <sheetPr codeName="Sheet2">
    <tabColor theme="4" tint="-0.249977111117893"/>
  </sheetPr>
  <dimension ref="A1:B33"/>
  <sheetViews>
    <sheetView workbookViewId="0">
      <selection activeCell="U50" sqref="U50"/>
    </sheetView>
  </sheetViews>
  <sheetFormatPr defaultRowHeight="15" x14ac:dyDescent="0.25"/>
  <sheetData>
    <row r="1" spans="1:2" x14ac:dyDescent="0.25">
      <c r="A1" t="s">
        <v>45</v>
      </c>
      <c r="B1">
        <v>0.2</v>
      </c>
    </row>
    <row r="2" spans="1:2" x14ac:dyDescent="0.25">
      <c r="A2" t="s">
        <v>32</v>
      </c>
      <c r="B2">
        <v>0.1</v>
      </c>
    </row>
    <row r="3" spans="1:2" x14ac:dyDescent="0.25">
      <c r="A3" t="s">
        <v>14</v>
      </c>
      <c r="B3">
        <v>1</v>
      </c>
    </row>
    <row r="4" spans="1:2" x14ac:dyDescent="0.25">
      <c r="A4" t="s">
        <v>17</v>
      </c>
      <c r="B4">
        <v>1</v>
      </c>
    </row>
    <row r="5" spans="1:2" x14ac:dyDescent="0.25">
      <c r="A5" t="s">
        <v>58</v>
      </c>
      <c r="B5">
        <v>0.1</v>
      </c>
    </row>
    <row r="6" spans="1:2" x14ac:dyDescent="0.25">
      <c r="A6" t="s">
        <v>21</v>
      </c>
      <c r="B6">
        <v>1.5</v>
      </c>
    </row>
    <row r="7" spans="1:2" x14ac:dyDescent="0.25">
      <c r="A7" t="s">
        <v>86</v>
      </c>
      <c r="B7">
        <v>0.8</v>
      </c>
    </row>
    <row r="8" spans="1:2" x14ac:dyDescent="0.25">
      <c r="A8" t="s">
        <v>40</v>
      </c>
      <c r="B8">
        <v>0.1</v>
      </c>
    </row>
    <row r="9" spans="1:2" x14ac:dyDescent="0.25">
      <c r="A9" t="s">
        <v>61</v>
      </c>
      <c r="B9">
        <v>0.3</v>
      </c>
    </row>
    <row r="10" spans="1:2" x14ac:dyDescent="0.25">
      <c r="A10" t="s">
        <v>57</v>
      </c>
      <c r="B10">
        <v>0.5</v>
      </c>
    </row>
    <row r="11" spans="1:2" x14ac:dyDescent="0.25">
      <c r="A11" t="s">
        <v>31</v>
      </c>
      <c r="B11">
        <v>0.1</v>
      </c>
    </row>
    <row r="12" spans="1:2" x14ac:dyDescent="0.25">
      <c r="A12" t="s">
        <v>55</v>
      </c>
      <c r="B12">
        <v>0.1</v>
      </c>
    </row>
    <row r="13" spans="1:2" x14ac:dyDescent="0.25">
      <c r="A13" t="s">
        <v>24</v>
      </c>
      <c r="B13">
        <v>1.5</v>
      </c>
    </row>
    <row r="14" spans="1:2" x14ac:dyDescent="0.25">
      <c r="A14" t="s">
        <v>18</v>
      </c>
      <c r="B14">
        <v>0.4</v>
      </c>
    </row>
    <row r="15" spans="1:2" x14ac:dyDescent="0.25">
      <c r="A15" t="s">
        <v>59</v>
      </c>
      <c r="B15">
        <v>0.1</v>
      </c>
    </row>
    <row r="16" spans="1:2" x14ac:dyDescent="0.25">
      <c r="A16" t="s">
        <v>37</v>
      </c>
      <c r="B16">
        <v>0.2</v>
      </c>
    </row>
    <row r="17" spans="1:2" x14ac:dyDescent="0.25">
      <c r="A17" t="s">
        <v>46</v>
      </c>
      <c r="B17">
        <v>0.1</v>
      </c>
    </row>
    <row r="18" spans="1:2" x14ac:dyDescent="0.25">
      <c r="A18" t="s">
        <v>34</v>
      </c>
      <c r="B18">
        <v>0.1</v>
      </c>
    </row>
    <row r="19" spans="1:2" x14ac:dyDescent="0.25">
      <c r="A19" t="s">
        <v>39</v>
      </c>
      <c r="B19">
        <v>0.1</v>
      </c>
    </row>
    <row r="20" spans="1:2" x14ac:dyDescent="0.25">
      <c r="A20" t="s">
        <v>41</v>
      </c>
      <c r="B20">
        <v>0.1</v>
      </c>
    </row>
    <row r="21" spans="1:2" x14ac:dyDescent="0.25">
      <c r="A21" t="s">
        <v>68</v>
      </c>
      <c r="B21">
        <v>2.8</v>
      </c>
    </row>
    <row r="22" spans="1:2" x14ac:dyDescent="0.25">
      <c r="A22" t="s">
        <v>60</v>
      </c>
      <c r="B22">
        <v>1.6</v>
      </c>
    </row>
    <row r="23" spans="1:2" x14ac:dyDescent="0.25">
      <c r="A23" t="s">
        <v>219</v>
      </c>
      <c r="B23">
        <v>0.8</v>
      </c>
    </row>
    <row r="24" spans="1:2" x14ac:dyDescent="0.25">
      <c r="A24" t="s">
        <v>220</v>
      </c>
      <c r="B24">
        <v>0.8</v>
      </c>
    </row>
    <row r="25" spans="1:2" x14ac:dyDescent="0.25">
      <c r="A25" t="s">
        <v>150</v>
      </c>
      <c r="B25">
        <v>0.8</v>
      </c>
    </row>
    <row r="26" spans="1:2" x14ac:dyDescent="0.25">
      <c r="A26" t="s">
        <v>112</v>
      </c>
      <c r="B26">
        <v>0.8</v>
      </c>
    </row>
    <row r="27" spans="1:2" x14ac:dyDescent="0.25">
      <c r="A27" t="s">
        <v>54</v>
      </c>
      <c r="B27">
        <v>0.1</v>
      </c>
    </row>
    <row r="28" spans="1:2" x14ac:dyDescent="0.25">
      <c r="A28" t="s">
        <v>15</v>
      </c>
      <c r="B28">
        <v>0.1</v>
      </c>
    </row>
    <row r="29" spans="1:2" x14ac:dyDescent="0.25">
      <c r="A29" t="s">
        <v>36</v>
      </c>
      <c r="B29">
        <v>0.1</v>
      </c>
    </row>
    <row r="30" spans="1:2" x14ac:dyDescent="0.25">
      <c r="A30" s="179" t="s">
        <v>9</v>
      </c>
      <c r="B30">
        <f ca="1">+OFFSET(RIK,0,1)+OFFSET(FE5,0,1)+OFFSET(_R88,0,1)</f>
        <v>2</v>
      </c>
    </row>
    <row r="31" spans="1:2" x14ac:dyDescent="0.25">
      <c r="A31" s="179" t="s">
        <v>49</v>
      </c>
      <c r="B31">
        <f ca="1">+OFFSET(AAK,0,1)+OFFSET(RIB,0,1)+OFFSET(CAV,0,1)</f>
        <v>0.30000000000000004</v>
      </c>
    </row>
    <row r="32" spans="1:2" x14ac:dyDescent="0.25">
      <c r="A32" s="179" t="s">
        <v>33</v>
      </c>
      <c r="B32">
        <f ca="1">+OFFSET(RIB,0,1)+OFFSET(VAV,0,1)+OFFSET(CAV,0,1)</f>
        <v>0.4</v>
      </c>
    </row>
    <row r="33" spans="1:2" x14ac:dyDescent="0.25">
      <c r="A33" s="179" t="s">
        <v>11</v>
      </c>
      <c r="B33" cm="1">
        <f t="array" aca="1" ref="B33" ca="1">+OFFSET(_5FD,0,1)+OFFSET(_SJ9,0,1)+OFFSET(_R88,0,1)</f>
        <v>3.3</v>
      </c>
    </row>
  </sheetData>
  <sortState xmlns:xlrd2="http://schemas.microsoft.com/office/spreadsheetml/2017/richdata2" ref="A1:B61">
    <sortCondition ref="A1:A6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3">
    <tabColor theme="1"/>
    <pageSetUpPr fitToPage="1"/>
  </sheetPr>
  <dimension ref="A1:M28"/>
  <sheetViews>
    <sheetView zoomScaleNormal="100" zoomScaleSheetLayoutView="120" workbookViewId="0">
      <pane xSplit="9" ySplit="4" topLeftCell="J5" activePane="bottomRight" state="frozen"/>
      <selection activeCell="U50" sqref="U50"/>
      <selection pane="topRight" activeCell="U50" sqref="U50"/>
      <selection pane="bottomLeft" activeCell="U50" sqref="U50"/>
      <selection pane="bottomRight" activeCell="G22" sqref="G22:I28"/>
    </sheetView>
  </sheetViews>
  <sheetFormatPr defaultColWidth="9.140625" defaultRowHeight="15" x14ac:dyDescent="0.25"/>
  <cols>
    <col min="1" max="1" width="8.7109375" style="13" customWidth="1"/>
    <col min="2" max="2" width="70.140625" style="13" customWidth="1"/>
    <col min="3" max="5" width="12.7109375" style="92" customWidth="1"/>
    <col min="6" max="6" width="12.7109375" style="93" customWidth="1"/>
    <col min="7" max="7" width="12.7109375" style="92" customWidth="1"/>
    <col min="8" max="8" width="12.7109375" style="94" customWidth="1"/>
    <col min="9" max="9" width="12.7109375" style="95" customWidth="1"/>
    <col min="10" max="10" width="9.140625" style="73"/>
    <col min="11" max="11" width="21.42578125" style="73" bestFit="1" customWidth="1"/>
    <col min="12" max="16384" width="9.140625" style="73"/>
  </cols>
  <sheetData>
    <row r="1" spans="1:13" ht="24" thickBot="1" x14ac:dyDescent="0.3">
      <c r="A1" s="258" t="s">
        <v>211</v>
      </c>
      <c r="B1" s="258"/>
      <c r="C1" s="258"/>
      <c r="D1" s="258"/>
      <c r="E1" s="258"/>
      <c r="F1" s="258"/>
      <c r="G1" s="258"/>
      <c r="H1" s="258"/>
      <c r="I1" s="259"/>
    </row>
    <row r="2" spans="1:13" ht="12" customHeight="1" thickBot="1" x14ac:dyDescent="0.3">
      <c r="A2" s="74"/>
      <c r="B2" s="74"/>
      <c r="C2" s="75"/>
      <c r="D2" s="75"/>
      <c r="E2" s="75"/>
      <c r="F2" s="75"/>
      <c r="G2" s="75"/>
      <c r="H2" s="75"/>
      <c r="I2" s="76"/>
    </row>
    <row r="3" spans="1:13" ht="30.75" thickBot="1" x14ac:dyDescent="0.3">
      <c r="A3" s="190"/>
      <c r="B3" s="190"/>
      <c r="C3" s="260" t="s">
        <v>81</v>
      </c>
      <c r="D3" s="261"/>
      <c r="E3" s="262"/>
      <c r="F3" s="191" t="s">
        <v>82</v>
      </c>
      <c r="G3" s="192"/>
      <c r="H3" s="191" t="s">
        <v>83</v>
      </c>
      <c r="I3" s="192"/>
    </row>
    <row r="4" spans="1:13" ht="45.75" customHeight="1" thickBot="1" x14ac:dyDescent="0.3">
      <c r="A4" s="96" t="s">
        <v>0</v>
      </c>
      <c r="B4" s="97" t="s">
        <v>1</v>
      </c>
      <c r="C4" s="66" t="s">
        <v>3</v>
      </c>
      <c r="D4" s="67" t="s">
        <v>4</v>
      </c>
      <c r="E4" s="36" t="s">
        <v>6</v>
      </c>
      <c r="F4" s="77" t="s">
        <v>2</v>
      </c>
      <c r="G4" s="72" t="s">
        <v>5</v>
      </c>
      <c r="H4" s="38" t="s">
        <v>7</v>
      </c>
      <c r="I4" s="78" t="s">
        <v>8</v>
      </c>
    </row>
    <row r="5" spans="1:13" x14ac:dyDescent="0.25">
      <c r="A5" s="202" t="s">
        <v>62</v>
      </c>
      <c r="B5" s="138" t="s">
        <v>284</v>
      </c>
      <c r="C5" s="133">
        <v>905.45</v>
      </c>
      <c r="D5" s="134">
        <v>995</v>
      </c>
      <c r="E5" s="199">
        <f>D5-C5</f>
        <v>89.549999999999955</v>
      </c>
      <c r="F5" s="195">
        <f ca="1">_xlfn.XLOOKUP(A5,'Escalade IQ Ref'!A:A,'Escalade IQ Ref'!B:B,"")</f>
        <v>0.30000000000000004</v>
      </c>
      <c r="G5" s="86">
        <f ca="1">(F5*Labor)*SvcGross</f>
        <v>39.375000000000007</v>
      </c>
      <c r="H5" s="87">
        <f t="shared" ref="H5:H13" ca="1" si="0">G5+E5</f>
        <v>128.92499999999995</v>
      </c>
      <c r="I5" s="88">
        <f ca="1">H5/D5</f>
        <v>0.129572864321608</v>
      </c>
    </row>
    <row r="6" spans="1:13" x14ac:dyDescent="0.25">
      <c r="A6" s="203" t="s">
        <v>9</v>
      </c>
      <c r="B6" s="139" t="s">
        <v>285</v>
      </c>
      <c r="C6" s="65">
        <v>3908.45</v>
      </c>
      <c r="D6" s="135">
        <v>4295</v>
      </c>
      <c r="E6" s="200">
        <f>D6-C6</f>
        <v>386.55000000000018</v>
      </c>
      <c r="F6" s="193">
        <f ca="1">_xlfn.XLOOKUP(A6,'Escalade IQ Ref'!A:A,'Escalade IQ Ref'!B:B,"")</f>
        <v>2.8</v>
      </c>
      <c r="G6" s="79">
        <f ca="1">(F6*Labor)*SvcGross</f>
        <v>367.49999999999994</v>
      </c>
      <c r="H6" s="80">
        <f t="shared" ca="1" si="0"/>
        <v>754.05000000000018</v>
      </c>
      <c r="I6" s="89">
        <f ca="1">H6/D6</f>
        <v>0.17556461001164148</v>
      </c>
    </row>
    <row r="7" spans="1:13" x14ac:dyDescent="0.25">
      <c r="A7" s="203" t="s">
        <v>49</v>
      </c>
      <c r="B7" s="139" t="s">
        <v>102</v>
      </c>
      <c r="C7" s="65">
        <v>477.75</v>
      </c>
      <c r="D7" s="135">
        <v>525</v>
      </c>
      <c r="E7" s="200">
        <f>D7-C7</f>
        <v>47.25</v>
      </c>
      <c r="F7" s="193">
        <f ca="1">_xlfn.XLOOKUP(A7,'Escalade IQ Ref'!A:A,'Escalade IQ Ref'!B:B,"")</f>
        <v>0.2</v>
      </c>
      <c r="G7" s="79">
        <f ca="1">(F7*Labor)*SvcGross</f>
        <v>26.25</v>
      </c>
      <c r="H7" s="80">
        <f t="shared" ca="1" si="0"/>
        <v>73.5</v>
      </c>
      <c r="I7" s="89">
        <f ca="1">H7/D7</f>
        <v>0.14000000000000001</v>
      </c>
    </row>
    <row r="8" spans="1:13" x14ac:dyDescent="0.25">
      <c r="A8" s="203" t="s">
        <v>11</v>
      </c>
      <c r="B8" s="139" t="s">
        <v>286</v>
      </c>
      <c r="C8" s="65">
        <v>4345.25</v>
      </c>
      <c r="D8" s="135">
        <v>4775</v>
      </c>
      <c r="E8" s="200">
        <f>D8-C8</f>
        <v>429.75</v>
      </c>
      <c r="F8" s="193">
        <f ca="1">_xlfn.XLOOKUP(A8,'Escalade IQ Ref'!A:A,'Escalade IQ Ref'!B:B,"")</f>
        <v>2.2999999999999998</v>
      </c>
      <c r="G8" s="79">
        <f ca="1">(F8*Labor)*SvcGross</f>
        <v>301.87499999999994</v>
      </c>
      <c r="H8" s="80">
        <f t="shared" ca="1" si="0"/>
        <v>731.625</v>
      </c>
      <c r="I8" s="89">
        <f ca="1">H8/D8</f>
        <v>0.15321989528795812</v>
      </c>
    </row>
    <row r="9" spans="1:13" ht="15.75" thickBot="1" x14ac:dyDescent="0.3">
      <c r="A9" s="204" t="s">
        <v>26</v>
      </c>
      <c r="B9" s="140" t="s">
        <v>258</v>
      </c>
      <c r="C9" s="136">
        <v>723.45</v>
      </c>
      <c r="D9" s="137">
        <v>795</v>
      </c>
      <c r="E9" s="200">
        <f>D9-C9</f>
        <v>71.549999999999955</v>
      </c>
      <c r="F9" s="193">
        <f ca="1">_xlfn.XLOOKUP(A9,'Escalade IQ Ref'!A:A,'Escalade IQ Ref'!B:B,"")</f>
        <v>0.2</v>
      </c>
      <c r="G9" s="79">
        <f ca="1">(F9*Labor)*SvcGross</f>
        <v>26.25</v>
      </c>
      <c r="H9" s="80">
        <f t="shared" ca="1" si="0"/>
        <v>97.799999999999955</v>
      </c>
      <c r="I9" s="89">
        <f ca="1">H9/D9</f>
        <v>0.12301886792452825</v>
      </c>
    </row>
    <row r="10" spans="1:13" x14ac:dyDescent="0.25">
      <c r="A10" s="205" t="s">
        <v>87</v>
      </c>
      <c r="B10" s="171" t="s">
        <v>88</v>
      </c>
      <c r="C10" s="201">
        <v>1819.09</v>
      </c>
      <c r="D10" s="201">
        <v>1999</v>
      </c>
      <c r="E10" s="79">
        <f t="shared" ref="E10:E13" si="1">D10-C10</f>
        <v>179.91000000000008</v>
      </c>
      <c r="F10" s="193">
        <f>_xlfn.XLOOKUP(A10,'Escalade IQ Ref'!A:A,'Escalade IQ Ref'!B:B,"")</f>
        <v>0.1</v>
      </c>
      <c r="G10" s="79">
        <f t="shared" ref="G10:G22" si="2">(F10*Labor)*SvcGross</f>
        <v>13.125</v>
      </c>
      <c r="H10" s="80">
        <f t="shared" si="0"/>
        <v>193.03500000000008</v>
      </c>
      <c r="I10" s="81">
        <f t="shared" ref="I10:I16" si="3">H10/D10</f>
        <v>9.6565782891445767E-2</v>
      </c>
    </row>
    <row r="11" spans="1:13" ht="14.25" customHeight="1" x14ac:dyDescent="0.25">
      <c r="A11" s="50" t="s">
        <v>89</v>
      </c>
      <c r="B11" s="109" t="s">
        <v>120</v>
      </c>
      <c r="C11" s="51">
        <v>818.09</v>
      </c>
      <c r="D11" s="51">
        <v>899</v>
      </c>
      <c r="E11" s="79">
        <f t="shared" si="1"/>
        <v>80.909999999999968</v>
      </c>
      <c r="F11" s="193">
        <f>_xlfn.XLOOKUP(A11,'Escalade IQ Ref'!A:A,'Escalade IQ Ref'!B:B,"")</f>
        <v>0.1</v>
      </c>
      <c r="G11" s="79">
        <f t="shared" si="2"/>
        <v>13.125</v>
      </c>
      <c r="H11" s="80">
        <f t="shared" si="0"/>
        <v>94.034999999999968</v>
      </c>
      <c r="I11" s="81">
        <f t="shared" si="3"/>
        <v>0.10459955506117906</v>
      </c>
      <c r="M11" s="82"/>
    </row>
    <row r="12" spans="1:13" x14ac:dyDescent="0.25">
      <c r="A12" s="50" t="s">
        <v>121</v>
      </c>
      <c r="B12" s="109" t="s">
        <v>122</v>
      </c>
      <c r="C12" s="51">
        <v>1592.5</v>
      </c>
      <c r="D12" s="51">
        <v>1750</v>
      </c>
      <c r="E12" s="79">
        <f t="shared" si="1"/>
        <v>157.5</v>
      </c>
      <c r="F12" s="193">
        <f>_xlfn.XLOOKUP(A12,'Escalade IQ Ref'!A:A,'Escalade IQ Ref'!B:B,"")</f>
        <v>1.5</v>
      </c>
      <c r="G12" s="79">
        <f t="shared" si="2"/>
        <v>196.875</v>
      </c>
      <c r="H12" s="80">
        <f t="shared" si="0"/>
        <v>354.375</v>
      </c>
      <c r="I12" s="81">
        <f t="shared" si="3"/>
        <v>0.20250000000000001</v>
      </c>
      <c r="J12" t="s">
        <v>229</v>
      </c>
    </row>
    <row r="13" spans="1:13" x14ac:dyDescent="0.25">
      <c r="A13" s="50" t="s">
        <v>45</v>
      </c>
      <c r="B13" s="109" t="s">
        <v>109</v>
      </c>
      <c r="C13" s="51">
        <v>364</v>
      </c>
      <c r="D13" s="51">
        <v>400</v>
      </c>
      <c r="E13" s="83">
        <f t="shared" si="1"/>
        <v>36</v>
      </c>
      <c r="F13" s="194">
        <f>_xlfn.XLOOKUP(A13,'Escalade IQ Ref'!A:A,'Escalade IQ Ref'!B:B,"")</f>
        <v>0.2</v>
      </c>
      <c r="G13" s="83">
        <f t="shared" si="2"/>
        <v>26.25</v>
      </c>
      <c r="H13" s="84">
        <f t="shared" si="0"/>
        <v>62.25</v>
      </c>
      <c r="I13" s="85">
        <f t="shared" si="3"/>
        <v>0.15562500000000001</v>
      </c>
    </row>
    <row r="14" spans="1:13" ht="14.25" customHeight="1" x14ac:dyDescent="0.25">
      <c r="A14" s="50" t="s">
        <v>44</v>
      </c>
      <c r="B14" s="109" t="s">
        <v>123</v>
      </c>
      <c r="C14" s="51">
        <v>159.25</v>
      </c>
      <c r="D14" s="51">
        <v>175</v>
      </c>
      <c r="E14" s="79">
        <f t="shared" ref="E14:E28" si="4">D14-C14</f>
        <v>15.75</v>
      </c>
      <c r="F14" s="193">
        <f>_xlfn.XLOOKUP(A14,'Escalade IQ Ref'!A:A,'Escalade IQ Ref'!B:B,"")</f>
        <v>0.1</v>
      </c>
      <c r="G14" s="79">
        <f t="shared" si="2"/>
        <v>13.125</v>
      </c>
      <c r="H14" s="80">
        <f t="shared" ref="H14:H17" si="5">G14+E14</f>
        <v>28.875</v>
      </c>
      <c r="I14" s="89">
        <f t="shared" si="3"/>
        <v>0.16500000000000001</v>
      </c>
    </row>
    <row r="15" spans="1:13" x14ac:dyDescent="0.25">
      <c r="A15" s="50" t="s">
        <v>90</v>
      </c>
      <c r="B15" s="109" t="s">
        <v>124</v>
      </c>
      <c r="C15" s="51">
        <v>773.5</v>
      </c>
      <c r="D15" s="51">
        <v>850</v>
      </c>
      <c r="E15" s="79">
        <f t="shared" si="4"/>
        <v>76.5</v>
      </c>
      <c r="F15" s="193">
        <f>_xlfn.XLOOKUP(A15,'Escalade IQ Ref'!A:A,'Escalade IQ Ref'!B:B,"")</f>
        <v>0.2</v>
      </c>
      <c r="G15" s="79">
        <f t="shared" si="2"/>
        <v>26.25</v>
      </c>
      <c r="H15" s="80">
        <f t="shared" si="5"/>
        <v>102.75</v>
      </c>
      <c r="I15" s="89">
        <f t="shared" si="3"/>
        <v>0.12088235294117647</v>
      </c>
    </row>
    <row r="16" spans="1:13" x14ac:dyDescent="0.25">
      <c r="A16" s="50" t="s">
        <v>76</v>
      </c>
      <c r="B16" s="109" t="s">
        <v>125</v>
      </c>
      <c r="C16" s="51">
        <v>113.75</v>
      </c>
      <c r="D16" s="51">
        <v>125</v>
      </c>
      <c r="E16" s="79">
        <f t="shared" si="4"/>
        <v>11.25</v>
      </c>
      <c r="F16" s="193">
        <f>_xlfn.XLOOKUP(A16,'Escalade IQ Ref'!A:A,'Escalade IQ Ref'!B:B,"")</f>
        <v>0.1</v>
      </c>
      <c r="G16" s="79">
        <f t="shared" si="2"/>
        <v>13.125</v>
      </c>
      <c r="H16" s="80">
        <f t="shared" si="5"/>
        <v>24.375</v>
      </c>
      <c r="I16" s="89">
        <f t="shared" si="3"/>
        <v>0.19500000000000001</v>
      </c>
    </row>
    <row r="17" spans="1:9" x14ac:dyDescent="0.25">
      <c r="A17" s="50" t="s">
        <v>96</v>
      </c>
      <c r="B17" s="109" t="s">
        <v>97</v>
      </c>
      <c r="C17" s="51">
        <v>177.45</v>
      </c>
      <c r="D17" s="51">
        <v>195</v>
      </c>
      <c r="E17" s="79">
        <f t="shared" si="4"/>
        <v>17.550000000000011</v>
      </c>
      <c r="F17" s="193">
        <f>_xlfn.XLOOKUP(A17,'Escalade IQ Ref'!A:A,'Escalade IQ Ref'!B:B,"")</f>
        <v>0.1</v>
      </c>
      <c r="G17" s="79">
        <f t="shared" si="2"/>
        <v>13.125</v>
      </c>
      <c r="H17" s="80">
        <f t="shared" si="5"/>
        <v>30.675000000000011</v>
      </c>
      <c r="I17" s="90">
        <f t="shared" ref="I17:I22" si="6">H17/D17</f>
        <v>0.15730769230769237</v>
      </c>
    </row>
    <row r="18" spans="1:9" x14ac:dyDescent="0.25">
      <c r="A18" s="50" t="s">
        <v>92</v>
      </c>
      <c r="B18" s="109" t="s">
        <v>126</v>
      </c>
      <c r="C18" s="51">
        <v>250.25</v>
      </c>
      <c r="D18" s="51">
        <v>275</v>
      </c>
      <c r="E18" s="79">
        <f t="shared" si="4"/>
        <v>24.75</v>
      </c>
      <c r="F18" s="193">
        <f>_xlfn.XLOOKUP(A18,'Escalade IQ Ref'!A:A,'Escalade IQ Ref'!B:B,"")</f>
        <v>0.1</v>
      </c>
      <c r="G18" s="79">
        <f t="shared" si="2"/>
        <v>13.125</v>
      </c>
      <c r="H18" s="91">
        <f t="shared" ref="H18:H22" si="7">G18+E18</f>
        <v>37.875</v>
      </c>
      <c r="I18" s="90">
        <f t="shared" si="6"/>
        <v>0.13772727272727273</v>
      </c>
    </row>
    <row r="19" spans="1:9" x14ac:dyDescent="0.25">
      <c r="A19" s="50" t="s">
        <v>24</v>
      </c>
      <c r="B19" s="109" t="s">
        <v>98</v>
      </c>
      <c r="C19" s="51">
        <v>591.5</v>
      </c>
      <c r="D19" s="51">
        <v>650</v>
      </c>
      <c r="E19" s="79">
        <f t="shared" si="4"/>
        <v>58.5</v>
      </c>
      <c r="F19" s="193">
        <f>_xlfn.XLOOKUP(A19,'Escalade IQ Ref'!A:A,'Escalade IQ Ref'!B:B,"")</f>
        <v>1.5</v>
      </c>
      <c r="G19" s="79">
        <f t="shared" si="2"/>
        <v>196.875</v>
      </c>
      <c r="H19" s="91">
        <f t="shared" si="7"/>
        <v>255.375</v>
      </c>
      <c r="I19" s="90">
        <f t="shared" si="6"/>
        <v>0.39288461538461539</v>
      </c>
    </row>
    <row r="20" spans="1:9" x14ac:dyDescent="0.25">
      <c r="A20" s="50" t="s">
        <v>77</v>
      </c>
      <c r="B20" s="109" t="s">
        <v>78</v>
      </c>
      <c r="C20" s="51">
        <v>250.25</v>
      </c>
      <c r="D20" s="51">
        <v>275</v>
      </c>
      <c r="E20" s="79">
        <f t="shared" si="4"/>
        <v>24.75</v>
      </c>
      <c r="F20" s="193">
        <f>_xlfn.XLOOKUP(A20,'Escalade IQ Ref'!A:A,'Escalade IQ Ref'!B:B,"")</f>
        <v>0.1</v>
      </c>
      <c r="G20" s="79">
        <f t="shared" si="2"/>
        <v>13.125</v>
      </c>
      <c r="H20" s="91">
        <f t="shared" si="7"/>
        <v>37.875</v>
      </c>
      <c r="I20" s="90">
        <f t="shared" si="6"/>
        <v>0.13772727272727273</v>
      </c>
    </row>
    <row r="21" spans="1:9" x14ac:dyDescent="0.25">
      <c r="A21" s="50" t="s">
        <v>54</v>
      </c>
      <c r="B21" s="109" t="s">
        <v>110</v>
      </c>
      <c r="C21" s="51">
        <v>227.5</v>
      </c>
      <c r="D21" s="51">
        <v>250</v>
      </c>
      <c r="E21" s="79">
        <f t="shared" si="4"/>
        <v>22.5</v>
      </c>
      <c r="F21" s="193">
        <f>_xlfn.XLOOKUP(A21,'Escalade IQ Ref'!A:A,'Escalade IQ Ref'!B:B,"")</f>
        <v>0.1</v>
      </c>
      <c r="G21" s="79">
        <f t="shared" si="2"/>
        <v>13.125</v>
      </c>
      <c r="H21" s="91">
        <f t="shared" si="7"/>
        <v>35.625</v>
      </c>
      <c r="I21" s="90">
        <f t="shared" si="6"/>
        <v>0.14249999999999999</v>
      </c>
    </row>
    <row r="22" spans="1:9" x14ac:dyDescent="0.25">
      <c r="A22" s="50" t="s">
        <v>59</v>
      </c>
      <c r="B22" s="109" t="s">
        <v>127</v>
      </c>
      <c r="C22" s="51">
        <v>113.75</v>
      </c>
      <c r="D22" s="51">
        <v>125</v>
      </c>
      <c r="E22" s="79">
        <f t="shared" si="4"/>
        <v>11.25</v>
      </c>
      <c r="F22" s="193">
        <f>_xlfn.XLOOKUP(A22,'Escalade IQ Ref'!A:A,'Escalade IQ Ref'!B:B,"")</f>
        <v>0.1</v>
      </c>
      <c r="G22" s="79">
        <f t="shared" si="2"/>
        <v>13.125</v>
      </c>
      <c r="H22" s="91">
        <f t="shared" si="7"/>
        <v>24.375</v>
      </c>
      <c r="I22" s="90">
        <f t="shared" si="6"/>
        <v>0.19500000000000001</v>
      </c>
    </row>
    <row r="23" spans="1:9" x14ac:dyDescent="0.25">
      <c r="A23" s="50" t="s">
        <v>79</v>
      </c>
      <c r="B23" s="109" t="s">
        <v>80</v>
      </c>
      <c r="C23" s="51">
        <v>136.5</v>
      </c>
      <c r="D23" s="51">
        <v>150</v>
      </c>
      <c r="E23" s="79">
        <f t="shared" si="4"/>
        <v>13.5</v>
      </c>
      <c r="F23" s="193">
        <f>_xlfn.XLOOKUP(A23,'Escalade IQ Ref'!A:A,'Escalade IQ Ref'!B:B,"")</f>
        <v>0.1</v>
      </c>
      <c r="G23" s="79">
        <f t="shared" ref="G23:G28" si="8">(F23*Labor)*SvcGross</f>
        <v>13.125</v>
      </c>
      <c r="H23" s="91">
        <f t="shared" ref="H23:H28" si="9">G23+E23</f>
        <v>26.625</v>
      </c>
      <c r="I23" s="90">
        <f t="shared" ref="I23:I28" si="10">H23/D23</f>
        <v>0.17749999999999999</v>
      </c>
    </row>
    <row r="24" spans="1:9" ht="18" customHeight="1" x14ac:dyDescent="0.25">
      <c r="A24" s="50" t="s">
        <v>61</v>
      </c>
      <c r="B24" s="109" t="s">
        <v>128</v>
      </c>
      <c r="C24" s="51">
        <v>632.45000000000005</v>
      </c>
      <c r="D24" s="51">
        <v>695</v>
      </c>
      <c r="E24" s="79">
        <f t="shared" si="4"/>
        <v>62.549999999999955</v>
      </c>
      <c r="F24" s="193">
        <f>_xlfn.XLOOKUP(A24,'Escalade IQ Ref'!A:A,'Escalade IQ Ref'!B:B,"")</f>
        <v>0.3</v>
      </c>
      <c r="G24" s="79">
        <f t="shared" si="8"/>
        <v>39.375</v>
      </c>
      <c r="H24" s="91">
        <f t="shared" si="9"/>
        <v>101.92499999999995</v>
      </c>
      <c r="I24" s="90">
        <f t="shared" si="10"/>
        <v>0.14665467625899273</v>
      </c>
    </row>
    <row r="25" spans="1:9" x14ac:dyDescent="0.25">
      <c r="A25" s="50" t="s">
        <v>23</v>
      </c>
      <c r="B25" s="109" t="s">
        <v>67</v>
      </c>
      <c r="C25" s="51">
        <v>450.45</v>
      </c>
      <c r="D25" s="51">
        <v>495</v>
      </c>
      <c r="E25" s="79">
        <f t="shared" si="4"/>
        <v>44.550000000000011</v>
      </c>
      <c r="F25" s="193">
        <f>_xlfn.XLOOKUP(A25,'Escalade IQ Ref'!A:A,'Escalade IQ Ref'!B:B,"")</f>
        <v>0.5</v>
      </c>
      <c r="G25" s="79">
        <f t="shared" si="8"/>
        <v>65.625</v>
      </c>
      <c r="H25" s="91">
        <f t="shared" si="9"/>
        <v>110.17500000000001</v>
      </c>
      <c r="I25" s="90">
        <f t="shared" si="10"/>
        <v>0.22257575757575759</v>
      </c>
    </row>
    <row r="26" spans="1:9" x14ac:dyDescent="0.25">
      <c r="A26" s="50" t="s">
        <v>40</v>
      </c>
      <c r="B26" s="109" t="s">
        <v>117</v>
      </c>
      <c r="C26" s="51">
        <v>159.25</v>
      </c>
      <c r="D26" s="51">
        <v>175</v>
      </c>
      <c r="E26" s="79">
        <f t="shared" si="4"/>
        <v>15.75</v>
      </c>
      <c r="F26" s="193">
        <f>_xlfn.XLOOKUP(A26,'Escalade IQ Ref'!A:A,'Escalade IQ Ref'!B:B,"")</f>
        <v>0.1</v>
      </c>
      <c r="G26" s="79">
        <f t="shared" si="8"/>
        <v>13.125</v>
      </c>
      <c r="H26" s="91">
        <f t="shared" si="9"/>
        <v>28.875</v>
      </c>
      <c r="I26" s="90">
        <f t="shared" si="10"/>
        <v>0.16500000000000001</v>
      </c>
    </row>
    <row r="27" spans="1:9" x14ac:dyDescent="0.25">
      <c r="A27" s="50" t="s">
        <v>41</v>
      </c>
      <c r="B27" s="109" t="s">
        <v>42</v>
      </c>
      <c r="C27" s="51">
        <v>68.25</v>
      </c>
      <c r="D27" s="51">
        <v>75</v>
      </c>
      <c r="E27" s="79">
        <f t="shared" si="4"/>
        <v>6.75</v>
      </c>
      <c r="F27" s="193">
        <f>_xlfn.XLOOKUP(A27,'Escalade IQ Ref'!A:A,'Escalade IQ Ref'!B:B,"")</f>
        <v>0.1</v>
      </c>
      <c r="G27" s="79">
        <f t="shared" si="8"/>
        <v>13.125</v>
      </c>
      <c r="H27" s="91">
        <f t="shared" si="9"/>
        <v>19.875</v>
      </c>
      <c r="I27" s="90">
        <f t="shared" si="10"/>
        <v>0.26500000000000001</v>
      </c>
    </row>
    <row r="28" spans="1:9" x14ac:dyDescent="0.25">
      <c r="A28" s="50" t="s">
        <v>13</v>
      </c>
      <c r="B28" s="109" t="s">
        <v>129</v>
      </c>
      <c r="C28" s="51">
        <v>68.25</v>
      </c>
      <c r="D28" s="51">
        <v>75</v>
      </c>
      <c r="E28" s="79">
        <f t="shared" si="4"/>
        <v>6.75</v>
      </c>
      <c r="F28" s="193">
        <f>_xlfn.XLOOKUP(A28,'Escalade IQ Ref'!A:A,'Escalade IQ Ref'!B:B,"")</f>
        <v>0.1</v>
      </c>
      <c r="G28" s="79">
        <f t="shared" si="8"/>
        <v>13.125</v>
      </c>
      <c r="H28" s="91">
        <f t="shared" si="9"/>
        <v>19.875</v>
      </c>
      <c r="I28" s="90">
        <f t="shared" si="10"/>
        <v>0.26500000000000001</v>
      </c>
    </row>
  </sheetData>
  <autoFilter ref="A4:I4" xr:uid="{00000000-0001-0000-0800-000000000000}"/>
  <sortState xmlns:xlrd2="http://schemas.microsoft.com/office/spreadsheetml/2017/richdata2" ref="A5:I6">
    <sortCondition descending="1" ref="I5:I6"/>
  </sortState>
  <mergeCells count="2">
    <mergeCell ref="A1:I1"/>
    <mergeCell ref="C3:E3"/>
  </mergeCells>
  <phoneticPr fontId="3" type="noConversion"/>
  <printOptions horizontalCentered="1"/>
  <pageMargins left="0.25" right="0.25" top="0.75" bottom="0.75" header="0.3" footer="0.3"/>
  <pageSetup scale="83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9EC21-10FE-4DEE-A163-0B8157EE5806}">
  <sheetPr codeName="Sheet4">
    <tabColor theme="4" tint="-0.249977111117893"/>
  </sheetPr>
  <dimension ref="A1:B39"/>
  <sheetViews>
    <sheetView topLeftCell="A7" workbookViewId="0">
      <selection activeCell="U50" sqref="U50"/>
    </sheetView>
  </sheetViews>
  <sheetFormatPr defaultRowHeight="15" x14ac:dyDescent="0.25"/>
  <cols>
    <col min="7" max="7" width="33.85546875" customWidth="1"/>
  </cols>
  <sheetData>
    <row r="1" spans="1:2" x14ac:dyDescent="0.25">
      <c r="A1" t="s">
        <v>45</v>
      </c>
      <c r="B1">
        <v>0.2</v>
      </c>
    </row>
    <row r="2" spans="1:2" x14ac:dyDescent="0.25">
      <c r="A2" t="s">
        <v>32</v>
      </c>
      <c r="B2">
        <v>0.1</v>
      </c>
    </row>
    <row r="3" spans="1:2" x14ac:dyDescent="0.25">
      <c r="A3" t="s">
        <v>87</v>
      </c>
      <c r="B3">
        <v>0.1</v>
      </c>
    </row>
    <row r="4" spans="1:2" x14ac:dyDescent="0.25">
      <c r="A4" t="s">
        <v>89</v>
      </c>
      <c r="B4">
        <v>0.1</v>
      </c>
    </row>
    <row r="5" spans="1:2" x14ac:dyDescent="0.25">
      <c r="A5" t="s">
        <v>92</v>
      </c>
      <c r="B5">
        <v>0.1</v>
      </c>
    </row>
    <row r="6" spans="1:2" x14ac:dyDescent="0.25">
      <c r="A6" t="s">
        <v>58</v>
      </c>
      <c r="B6">
        <v>1.5</v>
      </c>
    </row>
    <row r="7" spans="1:2" x14ac:dyDescent="0.25">
      <c r="A7" t="s">
        <v>23</v>
      </c>
      <c r="B7">
        <v>0.5</v>
      </c>
    </row>
    <row r="8" spans="1:2" x14ac:dyDescent="0.25">
      <c r="A8" t="s">
        <v>40</v>
      </c>
      <c r="B8">
        <v>0.1</v>
      </c>
    </row>
    <row r="9" spans="1:2" x14ac:dyDescent="0.25">
      <c r="A9" t="s">
        <v>221</v>
      </c>
      <c r="B9">
        <v>0.5</v>
      </c>
    </row>
    <row r="10" spans="1:2" x14ac:dyDescent="0.25">
      <c r="A10" t="s">
        <v>61</v>
      </c>
      <c r="B10">
        <v>0.3</v>
      </c>
    </row>
    <row r="11" spans="1:2" x14ac:dyDescent="0.25">
      <c r="A11" t="s">
        <v>30</v>
      </c>
      <c r="B11">
        <v>0.1</v>
      </c>
    </row>
    <row r="12" spans="1:2" x14ac:dyDescent="0.25">
      <c r="A12" t="s">
        <v>91</v>
      </c>
      <c r="B12">
        <v>0.1</v>
      </c>
    </row>
    <row r="13" spans="1:2" x14ac:dyDescent="0.25">
      <c r="A13" t="s">
        <v>24</v>
      </c>
      <c r="B13">
        <v>1.5</v>
      </c>
    </row>
    <row r="14" spans="1:2" x14ac:dyDescent="0.25">
      <c r="A14" t="s">
        <v>59</v>
      </c>
      <c r="B14">
        <v>0.1</v>
      </c>
    </row>
    <row r="15" spans="1:2" x14ac:dyDescent="0.25">
      <c r="A15" t="s">
        <v>46</v>
      </c>
      <c r="B15">
        <v>0.1</v>
      </c>
    </row>
    <row r="16" spans="1:2" x14ac:dyDescent="0.25">
      <c r="A16" t="s">
        <v>34</v>
      </c>
      <c r="B16">
        <v>0.1</v>
      </c>
    </row>
    <row r="17" spans="1:2" x14ac:dyDescent="0.25">
      <c r="A17" t="s">
        <v>90</v>
      </c>
      <c r="B17">
        <v>0.2</v>
      </c>
    </row>
    <row r="18" spans="1:2" x14ac:dyDescent="0.25">
      <c r="A18" t="s">
        <v>76</v>
      </c>
      <c r="B18">
        <v>0.1</v>
      </c>
    </row>
    <row r="19" spans="1:2" x14ac:dyDescent="0.25">
      <c r="A19" t="s">
        <v>77</v>
      </c>
      <c r="B19">
        <v>0.1</v>
      </c>
    </row>
    <row r="20" spans="1:2" x14ac:dyDescent="0.25">
      <c r="A20" t="s">
        <v>54</v>
      </c>
      <c r="B20">
        <v>0.1</v>
      </c>
    </row>
    <row r="21" spans="1:2" x14ac:dyDescent="0.25">
      <c r="A21" t="s">
        <v>222</v>
      </c>
      <c r="B21">
        <v>0.1</v>
      </c>
    </row>
    <row r="22" spans="1:2" x14ac:dyDescent="0.25">
      <c r="A22" t="s">
        <v>41</v>
      </c>
      <c r="B22">
        <v>0.1</v>
      </c>
    </row>
    <row r="23" spans="1:2" x14ac:dyDescent="0.25">
      <c r="A23" t="s">
        <v>13</v>
      </c>
      <c r="B23">
        <v>0.1</v>
      </c>
    </row>
    <row r="24" spans="1:2" x14ac:dyDescent="0.25">
      <c r="A24" t="s">
        <v>17</v>
      </c>
      <c r="B24">
        <v>0.5</v>
      </c>
    </row>
    <row r="25" spans="1:2" x14ac:dyDescent="0.25">
      <c r="A25" t="s">
        <v>223</v>
      </c>
      <c r="B25">
        <v>0.2</v>
      </c>
    </row>
    <row r="26" spans="1:2" x14ac:dyDescent="0.25">
      <c r="A26" t="s">
        <v>77</v>
      </c>
      <c r="B26">
        <v>0.1</v>
      </c>
    </row>
    <row r="27" spans="1:2" x14ac:dyDescent="0.25">
      <c r="A27" t="s">
        <v>224</v>
      </c>
      <c r="B27">
        <v>0.8</v>
      </c>
    </row>
    <row r="28" spans="1:2" x14ac:dyDescent="0.25">
      <c r="A28" t="s">
        <v>225</v>
      </c>
      <c r="B28">
        <v>0.8</v>
      </c>
    </row>
    <row r="29" spans="1:2" x14ac:dyDescent="0.25">
      <c r="A29" t="s">
        <v>226</v>
      </c>
      <c r="B29">
        <v>0.8</v>
      </c>
    </row>
    <row r="30" spans="1:2" x14ac:dyDescent="0.25">
      <c r="A30" t="s">
        <v>227</v>
      </c>
      <c r="B30">
        <v>0.8</v>
      </c>
    </row>
    <row r="31" spans="1:2" x14ac:dyDescent="0.25">
      <c r="A31" t="s">
        <v>62</v>
      </c>
      <c r="B31" cm="1">
        <f t="array" aca="1" ref="B31" ca="1">+OFFSET(RWV,0,1)+OFFSET(_sa2,0,1)</f>
        <v>0.30000000000000004</v>
      </c>
    </row>
    <row r="32" spans="1:2" x14ac:dyDescent="0.25">
      <c r="A32" t="s">
        <v>228</v>
      </c>
      <c r="B32" cm="1">
        <f t="array" aca="1" ref="B32" ca="1">+OFFSET(_sf7,0,1)+OFFSET(RIK,0,1)+OFFSET(S3I,0,1)</f>
        <v>2.8</v>
      </c>
    </row>
    <row r="33" spans="1:2" x14ac:dyDescent="0.25">
      <c r="A33" t="s">
        <v>49</v>
      </c>
      <c r="B33">
        <f ca="1">+OFFSET(RIA,0,1)+OFFSET(CAV,0,1)</f>
        <v>0.2</v>
      </c>
    </row>
    <row r="34" spans="1:2" x14ac:dyDescent="0.25">
      <c r="A34" t="s">
        <v>11</v>
      </c>
      <c r="B34" cm="1">
        <f t="array" aca="1" ref="B34" ca="1">+OFFSET(_SF3,0,1)+OFFSET(S3I,0,1)</f>
        <v>2.2999999999999998</v>
      </c>
    </row>
    <row r="35" spans="1:2" x14ac:dyDescent="0.25">
      <c r="A35" t="s">
        <v>26</v>
      </c>
      <c r="B35">
        <f ca="1">+OFFSET(VYW,0,1)+OFFSET(W0A,0,1)</f>
        <v>0.2</v>
      </c>
    </row>
    <row r="36" spans="1:2" x14ac:dyDescent="0.25">
      <c r="A36" t="s">
        <v>121</v>
      </c>
      <c r="B36">
        <v>1.5</v>
      </c>
    </row>
    <row r="37" spans="1:2" x14ac:dyDescent="0.25">
      <c r="A37" t="s">
        <v>96</v>
      </c>
      <c r="B37">
        <v>0.1</v>
      </c>
    </row>
    <row r="38" spans="1:2" x14ac:dyDescent="0.25">
      <c r="A38" t="s">
        <v>79</v>
      </c>
      <c r="B38">
        <v>0.1</v>
      </c>
    </row>
    <row r="39" spans="1:2" x14ac:dyDescent="0.25">
      <c r="A39" t="s">
        <v>44</v>
      </c>
      <c r="B39">
        <v>0.1</v>
      </c>
    </row>
  </sheetData>
  <sortState xmlns:xlrd2="http://schemas.microsoft.com/office/spreadsheetml/2017/richdata2" ref="A1:B34">
    <sortCondition ref="A1:A3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0B422-EF99-4DA4-A61C-611846F23D2E}">
  <sheetPr codeName="Sheet5">
    <tabColor theme="1"/>
  </sheetPr>
  <dimension ref="A1:L15"/>
  <sheetViews>
    <sheetView zoomScaleNormal="100" zoomScaleSheetLayoutView="120" workbookViewId="0">
      <pane xSplit="9" ySplit="4" topLeftCell="J5" activePane="bottomRight" state="frozen"/>
      <selection activeCell="U50" sqref="U50"/>
      <selection pane="topRight" activeCell="U50" sqref="U50"/>
      <selection pane="bottomLeft" activeCell="U50" sqref="U50"/>
      <selection pane="bottomRight" activeCell="U50" sqref="U50"/>
    </sheetView>
  </sheetViews>
  <sheetFormatPr defaultColWidth="18.42578125" defaultRowHeight="15" x14ac:dyDescent="0.25"/>
  <cols>
    <col min="1" max="1" width="8.7109375" style="8" customWidth="1"/>
    <col min="2" max="2" width="43.28515625" style="12" bestFit="1" customWidth="1"/>
    <col min="3" max="5" width="12.7109375" style="21" customWidth="1"/>
    <col min="6" max="9" width="12.7109375" customWidth="1"/>
    <col min="10" max="10" width="9.5703125" style="99" customWidth="1"/>
    <col min="11" max="11" width="21.42578125" style="99" bestFit="1" customWidth="1"/>
    <col min="12" max="12" width="10.42578125" style="99" customWidth="1"/>
  </cols>
  <sheetData>
    <row r="1" spans="1:12" ht="24" thickBot="1" x14ac:dyDescent="0.3">
      <c r="A1" s="263" t="s">
        <v>130</v>
      </c>
      <c r="B1" s="264"/>
      <c r="C1" s="264"/>
      <c r="D1" s="264"/>
      <c r="E1" s="264"/>
      <c r="F1" s="264"/>
      <c r="G1" s="264"/>
      <c r="H1" s="264"/>
      <c r="I1" s="265"/>
    </row>
    <row r="2" spans="1:12" s="5" customFormat="1" ht="12" customHeight="1" thickBot="1" x14ac:dyDescent="0.3">
      <c r="A2" s="47"/>
      <c r="B2" s="68"/>
      <c r="C2" s="48"/>
      <c r="D2" s="48"/>
      <c r="E2" s="48"/>
      <c r="F2" s="48"/>
      <c r="G2" s="48"/>
      <c r="H2" s="48"/>
      <c r="I2" s="48"/>
      <c r="J2" s="20"/>
      <c r="K2" s="20"/>
      <c r="L2" s="20"/>
    </row>
    <row r="3" spans="1:12" ht="15.75" thickBot="1" x14ac:dyDescent="0.3">
      <c r="A3" s="196"/>
      <c r="B3" s="197"/>
      <c r="C3" s="253" t="s">
        <v>81</v>
      </c>
      <c r="D3" s="255"/>
      <c r="E3" s="255"/>
      <c r="F3" s="253" t="s">
        <v>82</v>
      </c>
      <c r="G3" s="254"/>
      <c r="H3" s="253" t="s">
        <v>83</v>
      </c>
      <c r="I3" s="254"/>
    </row>
    <row r="4" spans="1:12" ht="55.5" customHeight="1" thickBot="1" x14ac:dyDescent="0.3">
      <c r="A4" s="32" t="s">
        <v>0</v>
      </c>
      <c r="B4" s="30" t="s">
        <v>1</v>
      </c>
      <c r="C4" s="31" t="s">
        <v>93</v>
      </c>
      <c r="D4" s="101" t="s">
        <v>94</v>
      </c>
      <c r="E4" s="153" t="s">
        <v>81</v>
      </c>
      <c r="F4" s="98" t="s">
        <v>2</v>
      </c>
      <c r="G4" s="42" t="s">
        <v>5</v>
      </c>
      <c r="H4" s="41" t="s">
        <v>7</v>
      </c>
      <c r="I4" s="25" t="s">
        <v>8</v>
      </c>
    </row>
    <row r="5" spans="1:12" ht="15" customHeight="1" x14ac:dyDescent="0.25">
      <c r="A5" s="202" t="s">
        <v>49</v>
      </c>
      <c r="B5" s="138" t="s">
        <v>102</v>
      </c>
      <c r="C5" s="210">
        <v>359.45</v>
      </c>
      <c r="D5" s="211">
        <v>395</v>
      </c>
      <c r="E5" s="206">
        <f t="shared" ref="E5:E14" si="0">D5-C5</f>
        <v>35.550000000000011</v>
      </c>
      <c r="F5" s="100">
        <f ca="1">_xlfn.XLOOKUP(A5,'Vistiq Ref'!A:A,'Vistiq Ref'!B:B,"")</f>
        <v>0.2</v>
      </c>
      <c r="G5" s="118">
        <f t="shared" ref="G5:G15" ca="1" si="1">(F5*Labor)*SvcGross</f>
        <v>26.25</v>
      </c>
      <c r="H5" s="43">
        <f ca="1">G5+E5</f>
        <v>61.800000000000011</v>
      </c>
      <c r="I5" s="117">
        <f t="shared" ref="I5:I15" ca="1" si="2">H5/C5</f>
        <v>0.17192933648629855</v>
      </c>
    </row>
    <row r="6" spans="1:12" ht="15.75" customHeight="1" x14ac:dyDescent="0.25">
      <c r="A6" s="203" t="s">
        <v>131</v>
      </c>
      <c r="B6" s="139" t="s">
        <v>283</v>
      </c>
      <c r="C6" s="212">
        <v>500.5</v>
      </c>
      <c r="D6" s="213">
        <v>550</v>
      </c>
      <c r="E6" s="206">
        <f t="shared" si="0"/>
        <v>49.5</v>
      </c>
      <c r="F6" s="100">
        <f ca="1">_xlfn.XLOOKUP(A6,'Vistiq Ref'!A:A,'Vistiq Ref'!B:B,"")</f>
        <v>0.4</v>
      </c>
      <c r="G6" s="118">
        <f t="shared" ca="1" si="1"/>
        <v>52.5</v>
      </c>
      <c r="H6" s="43">
        <f t="shared" ref="H6:H14" ca="1" si="3">G6+E6</f>
        <v>102</v>
      </c>
      <c r="I6" s="154">
        <f t="shared" ca="1" si="2"/>
        <v>0.20379620379620381</v>
      </c>
    </row>
    <row r="7" spans="1:12" ht="15" customHeight="1" thickBot="1" x14ac:dyDescent="0.3">
      <c r="A7" s="204" t="s">
        <v>26</v>
      </c>
      <c r="B7" s="140" t="s">
        <v>258</v>
      </c>
      <c r="C7" s="214">
        <v>500.5</v>
      </c>
      <c r="D7" s="215">
        <v>550</v>
      </c>
      <c r="E7" s="206">
        <f t="shared" si="0"/>
        <v>49.5</v>
      </c>
      <c r="F7" s="100">
        <f ca="1">_xlfn.XLOOKUP(A7,'Vistiq Ref'!A:A,'Vistiq Ref'!B:B,"")</f>
        <v>0.2</v>
      </c>
      <c r="G7" s="118">
        <f t="shared" ca="1" si="1"/>
        <v>26.25</v>
      </c>
      <c r="H7" s="43">
        <f t="shared" ca="1" si="3"/>
        <v>75.75</v>
      </c>
      <c r="I7" s="154">
        <f t="shared" ca="1" si="2"/>
        <v>0.15134865134865136</v>
      </c>
    </row>
    <row r="8" spans="1:12" ht="15" customHeight="1" x14ac:dyDescent="0.25">
      <c r="A8" s="205" t="s">
        <v>87</v>
      </c>
      <c r="B8" s="171" t="s">
        <v>88</v>
      </c>
      <c r="C8" s="216">
        <v>1819.09</v>
      </c>
      <c r="D8" s="217">
        <v>1999</v>
      </c>
      <c r="E8" s="206">
        <f>D8-C8</f>
        <v>179.91000000000008</v>
      </c>
      <c r="F8" s="100">
        <f>_xlfn.XLOOKUP(A8,'Vistiq Ref'!A:A,'Vistiq Ref'!B:B,"")</f>
        <v>0.1</v>
      </c>
      <c r="G8" s="118">
        <f>(F8*Labor)*SvcGross</f>
        <v>13.125</v>
      </c>
      <c r="H8" s="43">
        <f>G8+E8</f>
        <v>193.03500000000008</v>
      </c>
      <c r="I8" s="117">
        <f>H8/C8</f>
        <v>0.10611624493565469</v>
      </c>
    </row>
    <row r="9" spans="1:12" ht="15" customHeight="1" x14ac:dyDescent="0.25">
      <c r="A9" s="50" t="s">
        <v>89</v>
      </c>
      <c r="B9" s="109" t="s">
        <v>120</v>
      </c>
      <c r="C9" s="112">
        <v>818.09</v>
      </c>
      <c r="D9" s="218">
        <v>899</v>
      </c>
      <c r="E9" s="206">
        <f>D9-C9</f>
        <v>80.909999999999968</v>
      </c>
      <c r="F9" s="100">
        <f>_xlfn.XLOOKUP(A9,'Vistiq Ref'!A:A,'Vistiq Ref'!B:B,"")</f>
        <v>0.1</v>
      </c>
      <c r="G9" s="118">
        <f>(F9*Labor)*SvcGross</f>
        <v>13.125</v>
      </c>
      <c r="H9" s="43">
        <f>G9+E9</f>
        <v>94.034999999999968</v>
      </c>
      <c r="I9" s="117">
        <f>H9/C9</f>
        <v>0.11494456600129566</v>
      </c>
    </row>
    <row r="10" spans="1:12" ht="15" customHeight="1" x14ac:dyDescent="0.25">
      <c r="A10" s="50" t="s">
        <v>17</v>
      </c>
      <c r="B10" s="109" t="s">
        <v>132</v>
      </c>
      <c r="C10" s="112">
        <v>113.75</v>
      </c>
      <c r="D10" s="218">
        <v>125</v>
      </c>
      <c r="E10" s="206">
        <f t="shared" si="0"/>
        <v>11.25</v>
      </c>
      <c r="F10" s="100">
        <f>_xlfn.XLOOKUP(A10,'Vistiq Ref'!A:A,'Vistiq Ref'!B:B,"")</f>
        <v>0.4</v>
      </c>
      <c r="G10" s="118">
        <f t="shared" si="1"/>
        <v>52.5</v>
      </c>
      <c r="H10" s="43">
        <f t="shared" si="3"/>
        <v>63.75</v>
      </c>
      <c r="I10" s="154">
        <f t="shared" si="2"/>
        <v>0.56043956043956045</v>
      </c>
    </row>
    <row r="11" spans="1:12" ht="15" customHeight="1" x14ac:dyDescent="0.25">
      <c r="A11" s="50" t="s">
        <v>92</v>
      </c>
      <c r="B11" s="109" t="s">
        <v>126</v>
      </c>
      <c r="C11" s="112">
        <v>250.25</v>
      </c>
      <c r="D11" s="218">
        <v>275</v>
      </c>
      <c r="E11" s="206">
        <f t="shared" si="0"/>
        <v>24.75</v>
      </c>
      <c r="F11" s="100">
        <f>_xlfn.XLOOKUP(A11,'Vistiq Ref'!A:A,'Vistiq Ref'!B:B,"")</f>
        <v>0.1</v>
      </c>
      <c r="G11" s="118">
        <f t="shared" si="1"/>
        <v>13.125</v>
      </c>
      <c r="H11" s="43">
        <f t="shared" si="3"/>
        <v>37.875</v>
      </c>
      <c r="I11" s="154">
        <f t="shared" si="2"/>
        <v>0.15134865134865136</v>
      </c>
    </row>
    <row r="12" spans="1:12" ht="15" customHeight="1" x14ac:dyDescent="0.25">
      <c r="A12" s="50" t="s">
        <v>58</v>
      </c>
      <c r="B12" s="109" t="s">
        <v>133</v>
      </c>
      <c r="C12" s="112">
        <v>705.25</v>
      </c>
      <c r="D12" s="218">
        <v>775</v>
      </c>
      <c r="E12" s="206">
        <f t="shared" si="0"/>
        <v>69.75</v>
      </c>
      <c r="F12" s="100">
        <f>_xlfn.XLOOKUP(A12,'Vistiq Ref'!A:A,'Vistiq Ref'!B:B,"")</f>
        <v>1.8</v>
      </c>
      <c r="G12" s="118">
        <f t="shared" si="1"/>
        <v>236.25</v>
      </c>
      <c r="H12" s="43">
        <f t="shared" si="3"/>
        <v>306</v>
      </c>
      <c r="I12" s="154">
        <f t="shared" si="2"/>
        <v>0.43388869195320806</v>
      </c>
    </row>
    <row r="13" spans="1:12" ht="15" customHeight="1" thickBot="1" x14ac:dyDescent="0.3">
      <c r="A13" s="50" t="s">
        <v>71</v>
      </c>
      <c r="B13" s="109" t="s">
        <v>73</v>
      </c>
      <c r="C13" s="112">
        <v>1064.7</v>
      </c>
      <c r="D13" s="218">
        <v>1170</v>
      </c>
      <c r="E13" s="207">
        <f t="shared" si="0"/>
        <v>105.29999999999995</v>
      </c>
      <c r="F13" s="157">
        <f>_xlfn.XLOOKUP(A13,'Vistiq Ref'!A:A,'Vistiq Ref'!B:B,"")</f>
        <v>1.5</v>
      </c>
      <c r="G13" s="158">
        <f t="shared" si="1"/>
        <v>196.875</v>
      </c>
      <c r="H13" s="159">
        <f t="shared" si="3"/>
        <v>302.17499999999995</v>
      </c>
      <c r="I13" s="160">
        <f t="shared" si="2"/>
        <v>0.28381234150464912</v>
      </c>
    </row>
    <row r="14" spans="1:12" ht="15.75" customHeight="1" x14ac:dyDescent="0.25">
      <c r="A14" s="50" t="s">
        <v>59</v>
      </c>
      <c r="B14" s="109" t="s">
        <v>127</v>
      </c>
      <c r="C14" s="112">
        <v>177.45</v>
      </c>
      <c r="D14" s="218">
        <v>195</v>
      </c>
      <c r="E14" s="208">
        <f t="shared" si="0"/>
        <v>17.550000000000011</v>
      </c>
      <c r="F14" s="161">
        <f>_xlfn.XLOOKUP(A14,'Vistiq Ref'!A:A,'Vistiq Ref'!B:B,"")</f>
        <v>0.1</v>
      </c>
      <c r="G14" s="162">
        <f t="shared" si="1"/>
        <v>13.125</v>
      </c>
      <c r="H14" s="163">
        <f t="shared" si="3"/>
        <v>30.675000000000011</v>
      </c>
      <c r="I14" s="164">
        <f t="shared" si="2"/>
        <v>0.1728655959425191</v>
      </c>
    </row>
    <row r="15" spans="1:12" ht="15.75" customHeight="1" x14ac:dyDescent="0.25">
      <c r="A15" s="50" t="s">
        <v>53</v>
      </c>
      <c r="B15" s="109" t="s">
        <v>134</v>
      </c>
      <c r="C15" s="112">
        <v>386.75</v>
      </c>
      <c r="D15" s="218">
        <v>425</v>
      </c>
      <c r="E15" s="209">
        <f t="shared" ref="E15" si="4">D15-C15</f>
        <v>38.25</v>
      </c>
      <c r="F15" s="155">
        <f>_xlfn.XLOOKUP(A15,'Vistiq Ref'!A:A,'Vistiq Ref'!B:B,"")</f>
        <v>0.3</v>
      </c>
      <c r="G15" s="127">
        <f t="shared" si="1"/>
        <v>39.375</v>
      </c>
      <c r="H15" s="156">
        <f t="shared" ref="H15" si="5">G15+E15</f>
        <v>77.625</v>
      </c>
      <c r="I15" s="117">
        <f t="shared" si="2"/>
        <v>0.20071105365223013</v>
      </c>
    </row>
  </sheetData>
  <sheetProtection formatCells="0" sort="0" autoFilter="0"/>
  <autoFilter ref="A4:I4" xr:uid="{84F0B422-EF99-4DA4-A61C-611846F23D2E}"/>
  <sortState xmlns:xlrd2="http://schemas.microsoft.com/office/spreadsheetml/2017/richdata2" ref="A14:I15">
    <sortCondition descending="1" ref="I14:I15"/>
  </sortState>
  <mergeCells count="4">
    <mergeCell ref="A1:I1"/>
    <mergeCell ref="C3:E3"/>
    <mergeCell ref="F3:G3"/>
    <mergeCell ref="H3:I3"/>
  </mergeCells>
  <printOptions horizontalCentered="1"/>
  <pageMargins left="0.25" right="0.25" top="0.75" bottom="0.75" header="0.3" footer="0.3"/>
  <pageSetup scale="68" fitToWidth="0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89315-612D-433F-9EC1-78DB8EC1C3F6}">
  <sheetPr codeName="Sheet6">
    <tabColor theme="4" tint="-0.249977111117893"/>
  </sheetPr>
  <dimension ref="A1:P45"/>
  <sheetViews>
    <sheetView workbookViewId="0">
      <selection activeCell="U50" sqref="U50"/>
    </sheetView>
  </sheetViews>
  <sheetFormatPr defaultRowHeight="15" x14ac:dyDescent="0.25"/>
  <sheetData>
    <row r="1" spans="1:16" x14ac:dyDescent="0.25">
      <c r="A1" t="s">
        <v>87</v>
      </c>
      <c r="B1">
        <v>0.1</v>
      </c>
    </row>
    <row r="2" spans="1:16" x14ac:dyDescent="0.25">
      <c r="A2" t="s">
        <v>89</v>
      </c>
      <c r="B2">
        <v>0.1</v>
      </c>
    </row>
    <row r="3" spans="1:16" x14ac:dyDescent="0.25">
      <c r="A3" t="s">
        <v>92</v>
      </c>
      <c r="B3">
        <v>0.1</v>
      </c>
    </row>
    <row r="4" spans="1:16" x14ac:dyDescent="0.25">
      <c r="A4" t="s">
        <v>17</v>
      </c>
      <c r="B4">
        <v>0.4</v>
      </c>
    </row>
    <row r="5" spans="1:16" x14ac:dyDescent="0.25">
      <c r="A5" t="s">
        <v>58</v>
      </c>
      <c r="B5">
        <v>1.8</v>
      </c>
    </row>
    <row r="6" spans="1:16" x14ac:dyDescent="0.25">
      <c r="A6" t="s">
        <v>153</v>
      </c>
      <c r="B6">
        <v>0.3</v>
      </c>
    </row>
    <row r="7" spans="1:16" x14ac:dyDescent="0.25">
      <c r="A7" t="s">
        <v>30</v>
      </c>
      <c r="B7">
        <v>0.1</v>
      </c>
    </row>
    <row r="8" spans="1:16" x14ac:dyDescent="0.25">
      <c r="A8" t="s">
        <v>59</v>
      </c>
      <c r="B8">
        <v>0.1</v>
      </c>
    </row>
    <row r="9" spans="1:16" x14ac:dyDescent="0.25">
      <c r="A9" t="s">
        <v>46</v>
      </c>
      <c r="B9">
        <v>0.1</v>
      </c>
      <c r="O9" s="57"/>
      <c r="P9" s="57"/>
    </row>
    <row r="10" spans="1:16" x14ac:dyDescent="0.25">
      <c r="A10" t="s">
        <v>34</v>
      </c>
      <c r="B10">
        <v>0.1</v>
      </c>
      <c r="J10" s="57"/>
      <c r="K10" s="57"/>
    </row>
    <row r="11" spans="1:16" x14ac:dyDescent="0.25">
      <c r="A11" t="s">
        <v>222</v>
      </c>
      <c r="B11">
        <v>0.1</v>
      </c>
      <c r="J11" s="57"/>
      <c r="K11" s="57"/>
    </row>
    <row r="12" spans="1:16" x14ac:dyDescent="0.25">
      <c r="A12" t="s">
        <v>41</v>
      </c>
      <c r="B12">
        <v>0.1</v>
      </c>
      <c r="J12" s="57"/>
      <c r="K12" s="57"/>
    </row>
    <row r="13" spans="1:16" x14ac:dyDescent="0.25">
      <c r="A13" t="s">
        <v>71</v>
      </c>
      <c r="B13">
        <v>1.5</v>
      </c>
      <c r="J13" s="57"/>
      <c r="K13" s="57"/>
    </row>
    <row r="14" spans="1:16" x14ac:dyDescent="0.25">
      <c r="A14" t="s">
        <v>230</v>
      </c>
      <c r="B14">
        <v>0.1</v>
      </c>
      <c r="J14" s="57"/>
      <c r="K14" s="57"/>
    </row>
    <row r="15" spans="1:16" x14ac:dyDescent="0.25">
      <c r="A15" t="s">
        <v>72</v>
      </c>
      <c r="B15">
        <v>0.4</v>
      </c>
      <c r="J15" s="57"/>
      <c r="K15" s="57"/>
    </row>
    <row r="16" spans="1:16" ht="15.75" thickBot="1" x14ac:dyDescent="0.3">
      <c r="A16" t="s">
        <v>231</v>
      </c>
      <c r="B16">
        <v>0.3</v>
      </c>
      <c r="J16" s="57"/>
      <c r="K16" s="57"/>
    </row>
    <row r="17" spans="1:11" x14ac:dyDescent="0.25">
      <c r="A17" s="202" t="s">
        <v>49</v>
      </c>
      <c r="B17">
        <f ca="1">+OFFSET(RIA,0,1)+OFFSET(CAV,0,1)</f>
        <v>0.2</v>
      </c>
      <c r="J17" s="57"/>
      <c r="K17" s="57"/>
    </row>
    <row r="18" spans="1:11" x14ac:dyDescent="0.25">
      <c r="A18" s="203" t="s">
        <v>131</v>
      </c>
      <c r="B18">
        <f ca="1">+OFFSET(W2D,0,1)+OFFSET(VQP,0,1)</f>
        <v>0.4</v>
      </c>
    </row>
    <row r="19" spans="1:11" ht="15.75" thickBot="1" x14ac:dyDescent="0.3">
      <c r="A19" s="204" t="s">
        <v>26</v>
      </c>
      <c r="B19">
        <f ca="1">+OFFSET(VYW,0,1)+OFFSET(W0A,0,1)</f>
        <v>0.2</v>
      </c>
    </row>
    <row r="37" spans="1:1" x14ac:dyDescent="0.25">
      <c r="A37" s="57"/>
    </row>
    <row r="38" spans="1:1" x14ac:dyDescent="0.25">
      <c r="A38" s="57"/>
    </row>
    <row r="39" spans="1:1" x14ac:dyDescent="0.25">
      <c r="A39" s="57"/>
    </row>
    <row r="40" spans="1:1" x14ac:dyDescent="0.25">
      <c r="A40" s="57"/>
    </row>
    <row r="41" spans="1:1" x14ac:dyDescent="0.25">
      <c r="A41" s="57"/>
    </row>
    <row r="42" spans="1:1" x14ac:dyDescent="0.25">
      <c r="A42" s="57"/>
    </row>
    <row r="43" spans="1:1" x14ac:dyDescent="0.25">
      <c r="A43" s="57"/>
    </row>
    <row r="44" spans="1:1" x14ac:dyDescent="0.25">
      <c r="A44" s="57"/>
    </row>
    <row r="45" spans="1:1" x14ac:dyDescent="0.25">
      <c r="A45" s="57"/>
    </row>
  </sheetData>
  <sortState xmlns:xlrd2="http://schemas.microsoft.com/office/spreadsheetml/2017/richdata2" ref="A1:B36">
    <sortCondition ref="A1:A36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tabColor theme="1"/>
    <pageSetUpPr fitToPage="1"/>
  </sheetPr>
  <dimension ref="A1:L87"/>
  <sheetViews>
    <sheetView zoomScaleNormal="100" zoomScaleSheetLayoutView="120" workbookViewId="0">
      <pane xSplit="9" ySplit="4" topLeftCell="J5" activePane="bottomRight" state="frozen"/>
      <selection activeCell="U50" sqref="U50"/>
      <selection pane="topRight" activeCell="U50" sqref="U50"/>
      <selection pane="bottomLeft" activeCell="U50" sqref="U50"/>
      <selection pane="bottomRight" activeCell="U50" sqref="U50"/>
    </sheetView>
  </sheetViews>
  <sheetFormatPr defaultRowHeight="15" x14ac:dyDescent="0.25"/>
  <cols>
    <col min="1" max="1" width="8.7109375" customWidth="1"/>
    <col min="2" max="2" width="48.28515625" bestFit="1" customWidth="1"/>
    <col min="3" max="4" width="12.7109375" style="4" customWidth="1"/>
    <col min="5" max="5" width="12.7109375" style="5" customWidth="1"/>
    <col min="6" max="6" width="12.7109375" style="9" customWidth="1"/>
    <col min="7" max="7" width="12.7109375" style="4" customWidth="1"/>
    <col min="8" max="8" width="12.7109375" style="6" customWidth="1"/>
    <col min="9" max="9" width="12.7109375" style="7" customWidth="1"/>
    <col min="10" max="10" width="9.140625" style="99"/>
    <col min="11" max="11" width="21.42578125" style="99" bestFit="1" customWidth="1"/>
    <col min="12" max="12" width="9.140625" style="99"/>
  </cols>
  <sheetData>
    <row r="1" spans="1:9" ht="24" thickBot="1" x14ac:dyDescent="0.4">
      <c r="A1" s="266" t="s">
        <v>135</v>
      </c>
      <c r="B1" s="251"/>
      <c r="C1" s="251"/>
      <c r="D1" s="251"/>
      <c r="E1" s="251"/>
      <c r="F1" s="251"/>
      <c r="G1" s="251"/>
      <c r="H1" s="251"/>
      <c r="I1" s="252"/>
    </row>
    <row r="2" spans="1:9" ht="12" customHeight="1" thickBot="1" x14ac:dyDescent="0.3">
      <c r="A2" s="47"/>
      <c r="B2" s="47"/>
      <c r="C2" s="48"/>
      <c r="D2" s="48"/>
      <c r="E2" s="48"/>
      <c r="F2" s="48"/>
      <c r="G2" s="48"/>
      <c r="H2" s="198"/>
      <c r="I2" s="99"/>
    </row>
    <row r="3" spans="1:9" ht="24" thickBot="1" x14ac:dyDescent="0.3">
      <c r="A3" s="69"/>
      <c r="B3" s="69"/>
      <c r="C3" s="267" t="s">
        <v>81</v>
      </c>
      <c r="D3" s="269"/>
      <c r="E3" s="268"/>
      <c r="F3" s="267" t="s">
        <v>82</v>
      </c>
      <c r="G3" s="268"/>
      <c r="H3" s="267" t="s">
        <v>83</v>
      </c>
      <c r="I3" s="268"/>
    </row>
    <row r="4" spans="1:9" ht="45.75" customHeight="1" x14ac:dyDescent="0.25">
      <c r="A4" s="32" t="s">
        <v>0</v>
      </c>
      <c r="B4" s="30" t="s">
        <v>1</v>
      </c>
      <c r="C4" s="66" t="s">
        <v>3</v>
      </c>
      <c r="D4" s="67" t="s">
        <v>4</v>
      </c>
      <c r="E4" s="119" t="s">
        <v>6</v>
      </c>
      <c r="F4" s="44" t="s">
        <v>2</v>
      </c>
      <c r="G4" s="121" t="s">
        <v>5</v>
      </c>
      <c r="H4" s="108" t="s">
        <v>7</v>
      </c>
      <c r="I4" s="122" t="s">
        <v>8</v>
      </c>
    </row>
    <row r="5" spans="1:9" ht="15.75" customHeight="1" x14ac:dyDescent="0.25">
      <c r="A5" s="150" t="s">
        <v>9</v>
      </c>
      <c r="B5" s="139" t="s">
        <v>278</v>
      </c>
      <c r="C5" s="65">
        <v>3844.75</v>
      </c>
      <c r="D5" s="65">
        <v>4225</v>
      </c>
      <c r="E5" s="167">
        <f>D5-C5</f>
        <v>380.25</v>
      </c>
      <c r="F5" s="110">
        <f ca="1">_xlfn.XLOOKUP(A5,'Optiq Ref'!A:A,'Optiq Ref'!B:B,"")</f>
        <v>3.2</v>
      </c>
      <c r="G5" s="168">
        <f ca="1">(F5*Labor)*SvcGross</f>
        <v>420</v>
      </c>
      <c r="H5" s="111">
        <f ca="1">G5+E5</f>
        <v>800.25</v>
      </c>
      <c r="I5" s="169">
        <f ca="1">H5/C5</f>
        <v>0.20814097145458091</v>
      </c>
    </row>
    <row r="6" spans="1:9" ht="15.75" customHeight="1" x14ac:dyDescent="0.25">
      <c r="A6" s="150" t="s">
        <v>49</v>
      </c>
      <c r="B6" s="139" t="s">
        <v>279</v>
      </c>
      <c r="C6" s="65">
        <v>359.45</v>
      </c>
      <c r="D6" s="65">
        <v>395</v>
      </c>
      <c r="E6" s="167">
        <f>D6-C6</f>
        <v>35.550000000000011</v>
      </c>
      <c r="F6" s="110">
        <f ca="1">_xlfn.XLOOKUP(A6,'Optiq Ref'!A:A,'Optiq Ref'!B:B,"")</f>
        <v>0.2</v>
      </c>
      <c r="G6" s="168">
        <f ca="1">(F6*Labor)*SvcGross</f>
        <v>26.25</v>
      </c>
      <c r="H6" s="111">
        <f ca="1">G6+E6</f>
        <v>61.800000000000011</v>
      </c>
      <c r="I6" s="169">
        <f ca="1">H6/C6</f>
        <v>0.17192933648629855</v>
      </c>
    </row>
    <row r="7" spans="1:9" ht="15.75" customHeight="1" x14ac:dyDescent="0.25">
      <c r="A7" s="150" t="s">
        <v>33</v>
      </c>
      <c r="B7" s="139" t="s">
        <v>280</v>
      </c>
      <c r="C7" s="65">
        <v>341.25</v>
      </c>
      <c r="D7" s="65">
        <v>375</v>
      </c>
      <c r="E7" s="167">
        <f>D7-C7</f>
        <v>33.75</v>
      </c>
      <c r="F7" s="110">
        <f ca="1">_xlfn.XLOOKUP(A7,'Optiq Ref'!A:A,'Optiq Ref'!B:B,"")</f>
        <v>0.2</v>
      </c>
      <c r="G7" s="168">
        <f ca="1">(F7*Labor)*SvcGross</f>
        <v>26.25</v>
      </c>
      <c r="H7" s="111">
        <f ca="1">G7+E7</f>
        <v>60</v>
      </c>
      <c r="I7" s="169">
        <f ca="1">H7/C7</f>
        <v>0.17582417582417584</v>
      </c>
    </row>
    <row r="8" spans="1:9" ht="15.75" customHeight="1" x14ac:dyDescent="0.25">
      <c r="A8" s="150" t="s">
        <v>131</v>
      </c>
      <c r="B8" s="139" t="s">
        <v>281</v>
      </c>
      <c r="C8" s="65">
        <v>250.25</v>
      </c>
      <c r="D8" s="65">
        <v>275</v>
      </c>
      <c r="E8" s="167">
        <f>D8-C8</f>
        <v>24.75</v>
      </c>
      <c r="F8" s="110">
        <f ca="1">_xlfn.XLOOKUP(A8,'Optiq Ref'!A:A,'Optiq Ref'!B:B,"")</f>
        <v>0.2</v>
      </c>
      <c r="G8" s="168">
        <f ca="1">(F8*Labor)*SvcGross</f>
        <v>26.25</v>
      </c>
      <c r="H8" s="111">
        <f ca="1">G8+E8</f>
        <v>51</v>
      </c>
      <c r="I8" s="169">
        <f ca="1">H8/C8</f>
        <v>0.20379620379620381</v>
      </c>
    </row>
    <row r="9" spans="1:9" ht="15.75" customHeight="1" x14ac:dyDescent="0.25">
      <c r="A9" s="150" t="s">
        <v>26</v>
      </c>
      <c r="B9" s="139" t="s">
        <v>282</v>
      </c>
      <c r="C9" s="65">
        <v>632.45000000000005</v>
      </c>
      <c r="D9" s="65">
        <v>695</v>
      </c>
      <c r="E9" s="167">
        <f>D9-C9</f>
        <v>62.549999999999955</v>
      </c>
      <c r="F9" s="110">
        <f ca="1">_xlfn.XLOOKUP(A9,'Optiq Ref'!A:A,'Optiq Ref'!B:B,"")</f>
        <v>0.2</v>
      </c>
      <c r="G9" s="168">
        <f ca="1">(F9*Labor)*SvcGross</f>
        <v>26.25</v>
      </c>
      <c r="H9" s="111">
        <f ca="1">G9+E9</f>
        <v>88.799999999999955</v>
      </c>
      <c r="I9" s="169">
        <f ca="1">H9/C9</f>
        <v>0.14040635623369427</v>
      </c>
    </row>
    <row r="10" spans="1:9" ht="15.75" customHeight="1" x14ac:dyDescent="0.25">
      <c r="A10" s="151" t="s">
        <v>87</v>
      </c>
      <c r="B10" s="109" t="s">
        <v>136</v>
      </c>
      <c r="C10" s="51">
        <v>1819.09</v>
      </c>
      <c r="D10" s="51">
        <v>1999</v>
      </c>
      <c r="E10" s="167">
        <f t="shared" ref="E10:E15" si="0">D10-C10</f>
        <v>179.91000000000008</v>
      </c>
      <c r="F10" s="110">
        <f>_xlfn.XLOOKUP(A10,'Optiq Ref'!A:A,'Optiq Ref'!B:B,"")</f>
        <v>0.1</v>
      </c>
      <c r="G10" s="168">
        <f t="shared" ref="G10:G15" si="1">(F10*Labor)*SvcGross</f>
        <v>13.125</v>
      </c>
      <c r="H10" s="111">
        <f t="shared" ref="H10:H15" si="2">G10+E10</f>
        <v>193.03500000000008</v>
      </c>
      <c r="I10" s="169">
        <f t="shared" ref="I10:I15" si="3">H10/C10</f>
        <v>0.10611624493565469</v>
      </c>
    </row>
    <row r="11" spans="1:9" ht="15.75" customHeight="1" x14ac:dyDescent="0.25">
      <c r="A11" s="151" t="s">
        <v>89</v>
      </c>
      <c r="B11" s="109" t="s">
        <v>137</v>
      </c>
      <c r="C11" s="51">
        <v>818.09</v>
      </c>
      <c r="D11" s="51">
        <v>899</v>
      </c>
      <c r="E11" s="167">
        <f t="shared" si="0"/>
        <v>80.909999999999968</v>
      </c>
      <c r="F11" s="110">
        <f>_xlfn.XLOOKUP(A11,'Optiq Ref'!A:A,'Optiq Ref'!B:B,"")</f>
        <v>0.1</v>
      </c>
      <c r="G11" s="168">
        <f t="shared" si="1"/>
        <v>13.125</v>
      </c>
      <c r="H11" s="111">
        <f t="shared" si="2"/>
        <v>94.034999999999968</v>
      </c>
      <c r="I11" s="169">
        <f t="shared" si="3"/>
        <v>0.11494456600129566</v>
      </c>
    </row>
    <row r="12" spans="1:9" ht="15.75" customHeight="1" x14ac:dyDescent="0.25">
      <c r="A12" s="151" t="s">
        <v>138</v>
      </c>
      <c r="B12" s="109" t="s">
        <v>139</v>
      </c>
      <c r="C12" s="51">
        <v>60.97</v>
      </c>
      <c r="D12" s="51">
        <v>67</v>
      </c>
      <c r="E12" s="167">
        <f t="shared" si="0"/>
        <v>6.0300000000000011</v>
      </c>
      <c r="F12" s="110">
        <f>_xlfn.XLOOKUP(A12,'Optiq Ref'!A:A,'Optiq Ref'!B:B,"")</f>
        <v>0.1</v>
      </c>
      <c r="G12" s="168">
        <f t="shared" si="1"/>
        <v>13.125</v>
      </c>
      <c r="H12" s="111">
        <f t="shared" si="2"/>
        <v>19.155000000000001</v>
      </c>
      <c r="I12" s="169">
        <f t="shared" si="3"/>
        <v>0.31417090372314255</v>
      </c>
    </row>
    <row r="13" spans="1:9" ht="15.75" customHeight="1" x14ac:dyDescent="0.25">
      <c r="A13" s="151" t="s">
        <v>140</v>
      </c>
      <c r="B13" s="109" t="s">
        <v>141</v>
      </c>
      <c r="C13" s="51">
        <v>171.99</v>
      </c>
      <c r="D13" s="51">
        <v>189</v>
      </c>
      <c r="E13" s="167">
        <f t="shared" si="0"/>
        <v>17.009999999999991</v>
      </c>
      <c r="F13" s="110">
        <f>_xlfn.XLOOKUP(A13,'Optiq Ref'!A:A,'Optiq Ref'!B:B,"")</f>
        <v>0.1</v>
      </c>
      <c r="G13" s="168">
        <f t="shared" si="1"/>
        <v>13.125</v>
      </c>
      <c r="H13" s="111">
        <f t="shared" si="2"/>
        <v>30.134999999999991</v>
      </c>
      <c r="I13" s="169">
        <f t="shared" si="3"/>
        <v>0.17521367521367515</v>
      </c>
    </row>
    <row r="14" spans="1:9" ht="15.75" customHeight="1" x14ac:dyDescent="0.25">
      <c r="A14" s="151" t="s">
        <v>58</v>
      </c>
      <c r="B14" s="109" t="s">
        <v>142</v>
      </c>
      <c r="C14" s="51">
        <v>750.75</v>
      </c>
      <c r="D14" s="51">
        <v>825</v>
      </c>
      <c r="E14" s="167">
        <f t="shared" si="0"/>
        <v>74.25</v>
      </c>
      <c r="F14" s="110">
        <f>_xlfn.XLOOKUP(A14,'Optiq Ref'!A:A,'Optiq Ref'!B:B,"")</f>
        <v>1.5</v>
      </c>
      <c r="G14" s="168">
        <f t="shared" si="1"/>
        <v>196.875</v>
      </c>
      <c r="H14" s="111">
        <f t="shared" si="2"/>
        <v>271.125</v>
      </c>
      <c r="I14" s="169">
        <f t="shared" si="3"/>
        <v>0.36113886113886112</v>
      </c>
    </row>
    <row r="15" spans="1:9" ht="15.75" customHeight="1" x14ac:dyDescent="0.25">
      <c r="A15" s="151" t="s">
        <v>71</v>
      </c>
      <c r="B15" s="109" t="s">
        <v>100</v>
      </c>
      <c r="C15" s="51">
        <v>814.45</v>
      </c>
      <c r="D15" s="51">
        <v>895</v>
      </c>
      <c r="E15" s="167">
        <f t="shared" si="0"/>
        <v>80.549999999999955</v>
      </c>
      <c r="F15" s="110">
        <f>_xlfn.XLOOKUP(A15,'Optiq Ref'!A:A,'Optiq Ref'!B:B,"")</f>
        <v>1</v>
      </c>
      <c r="G15" s="168">
        <f t="shared" si="1"/>
        <v>131.25</v>
      </c>
      <c r="H15" s="111">
        <f t="shared" si="2"/>
        <v>211.79999999999995</v>
      </c>
      <c r="I15" s="169">
        <f t="shared" si="3"/>
        <v>0.26005279636564543</v>
      </c>
    </row>
    <row r="16" spans="1:9" ht="15.75" customHeight="1" x14ac:dyDescent="0.25">
      <c r="A16" s="151" t="s">
        <v>15</v>
      </c>
      <c r="B16" s="109" t="s">
        <v>143</v>
      </c>
      <c r="C16" s="51">
        <v>118.3</v>
      </c>
      <c r="D16" s="51">
        <v>130</v>
      </c>
      <c r="E16" s="167">
        <f t="shared" ref="E16:E19" si="4">D16-C16</f>
        <v>11.700000000000003</v>
      </c>
      <c r="F16" s="110">
        <f>_xlfn.XLOOKUP(A16,'Optiq Ref'!A:A,'Optiq Ref'!B:B,"")</f>
        <v>0.1</v>
      </c>
      <c r="G16" s="168">
        <f t="shared" ref="G16:G19" si="5">(F16*Labor)*SvcGross</f>
        <v>13.125</v>
      </c>
      <c r="H16" s="111">
        <f t="shared" ref="H16:H19" si="6">G16+E16</f>
        <v>24.825000000000003</v>
      </c>
      <c r="I16" s="169">
        <f t="shared" ref="I16:I19" si="7">H16/C16</f>
        <v>0.2098478444632291</v>
      </c>
    </row>
    <row r="17" spans="1:9" ht="15.75" customHeight="1" x14ac:dyDescent="0.25">
      <c r="A17" s="151" t="s">
        <v>39</v>
      </c>
      <c r="B17" s="109" t="s">
        <v>144</v>
      </c>
      <c r="C17" s="51">
        <v>227.5</v>
      </c>
      <c r="D17" s="51">
        <v>250</v>
      </c>
      <c r="E17" s="167">
        <f t="shared" si="4"/>
        <v>22.5</v>
      </c>
      <c r="F17" s="110">
        <f>_xlfn.XLOOKUP(A17,'Optiq Ref'!A:A,'Optiq Ref'!B:B,"")</f>
        <v>0.1</v>
      </c>
      <c r="G17" s="168">
        <f t="shared" si="5"/>
        <v>13.125</v>
      </c>
      <c r="H17" s="111">
        <f t="shared" si="6"/>
        <v>35.625</v>
      </c>
      <c r="I17" s="169">
        <f t="shared" si="7"/>
        <v>0.15659340659340659</v>
      </c>
    </row>
    <row r="18" spans="1:9" ht="15.75" customHeight="1" x14ac:dyDescent="0.25">
      <c r="A18" s="151" t="s">
        <v>23</v>
      </c>
      <c r="B18" s="109" t="s">
        <v>145</v>
      </c>
      <c r="C18" s="51">
        <v>450.45</v>
      </c>
      <c r="D18" s="51">
        <v>495</v>
      </c>
      <c r="E18" s="167">
        <f t="shared" si="4"/>
        <v>44.550000000000011</v>
      </c>
      <c r="F18" s="110">
        <f>_xlfn.XLOOKUP(A18,'Optiq Ref'!A:A,'Optiq Ref'!B:B,"")</f>
        <v>1</v>
      </c>
      <c r="G18" s="168">
        <f t="shared" si="5"/>
        <v>131.25</v>
      </c>
      <c r="H18" s="111">
        <f t="shared" si="6"/>
        <v>175.8</v>
      </c>
      <c r="I18" s="169">
        <f t="shared" si="7"/>
        <v>0.39027639027639033</v>
      </c>
    </row>
    <row r="19" spans="1:9" x14ac:dyDescent="0.25">
      <c r="A19" s="151" t="s">
        <v>41</v>
      </c>
      <c r="B19" s="109" t="s">
        <v>146</v>
      </c>
      <c r="C19" s="51">
        <v>86.45</v>
      </c>
      <c r="D19" s="51">
        <v>95</v>
      </c>
      <c r="E19" s="167">
        <f t="shared" si="4"/>
        <v>8.5499999999999972</v>
      </c>
      <c r="F19" s="110">
        <f>_xlfn.XLOOKUP(A19,'Optiq Ref'!A:A,'Optiq Ref'!B:B,"")</f>
        <v>0.1</v>
      </c>
      <c r="G19" s="168">
        <f t="shared" si="5"/>
        <v>13.125</v>
      </c>
      <c r="H19" s="111">
        <f t="shared" si="6"/>
        <v>21.674999999999997</v>
      </c>
      <c r="I19" s="169">
        <f t="shared" si="7"/>
        <v>0.25072296124927701</v>
      </c>
    </row>
    <row r="20" spans="1:9" x14ac:dyDescent="0.25">
      <c r="A20" s="99"/>
      <c r="B20" s="99"/>
      <c r="C20" s="104"/>
      <c r="D20" s="104"/>
      <c r="E20" s="20"/>
      <c r="F20" s="105"/>
      <c r="G20" s="104"/>
      <c r="H20" s="106"/>
      <c r="I20" s="107"/>
    </row>
    <row r="21" spans="1:9" x14ac:dyDescent="0.25">
      <c r="A21" s="99"/>
      <c r="B21" s="99"/>
      <c r="C21" s="104"/>
      <c r="D21" s="104"/>
      <c r="E21" s="20"/>
      <c r="F21" s="105"/>
      <c r="G21" s="104"/>
      <c r="H21" s="106"/>
      <c r="I21" s="107"/>
    </row>
    <row r="22" spans="1:9" x14ac:dyDescent="0.25">
      <c r="A22" s="99"/>
      <c r="B22" s="99"/>
      <c r="C22" s="104"/>
      <c r="D22" s="104"/>
      <c r="E22" s="20"/>
      <c r="F22" s="105"/>
      <c r="G22" s="104"/>
      <c r="H22" s="106"/>
      <c r="I22" s="107"/>
    </row>
    <row r="23" spans="1:9" x14ac:dyDescent="0.25">
      <c r="A23" s="99"/>
      <c r="B23" s="99"/>
      <c r="C23" s="104"/>
      <c r="D23" s="104"/>
      <c r="E23" s="20"/>
      <c r="F23" s="105"/>
      <c r="G23" s="104"/>
      <c r="H23" s="106"/>
      <c r="I23" s="107"/>
    </row>
    <row r="24" spans="1:9" x14ac:dyDescent="0.25">
      <c r="A24" s="99"/>
      <c r="B24" s="99"/>
      <c r="C24" s="104"/>
      <c r="D24" s="104"/>
      <c r="E24" s="20"/>
      <c r="F24" s="105"/>
      <c r="G24" s="104"/>
      <c r="H24" s="106"/>
      <c r="I24" s="107"/>
    </row>
    <row r="25" spans="1:9" x14ac:dyDescent="0.25">
      <c r="A25" s="99"/>
      <c r="B25" s="99"/>
      <c r="C25" s="104"/>
      <c r="D25" s="104"/>
      <c r="E25" s="20"/>
      <c r="F25" s="105"/>
      <c r="G25" s="104"/>
      <c r="H25" s="106"/>
      <c r="I25" s="107"/>
    </row>
    <row r="26" spans="1:9" x14ac:dyDescent="0.25">
      <c r="A26" s="99"/>
      <c r="B26" s="99"/>
      <c r="C26" s="104"/>
      <c r="D26" s="104"/>
      <c r="E26" s="20"/>
      <c r="F26" s="105"/>
      <c r="G26" s="104"/>
      <c r="H26" s="106"/>
      <c r="I26" s="107"/>
    </row>
    <row r="27" spans="1:9" x14ac:dyDescent="0.25">
      <c r="A27" s="99"/>
      <c r="B27" s="99"/>
      <c r="C27" s="104"/>
      <c r="D27" s="104"/>
      <c r="E27" s="20"/>
      <c r="F27" s="105"/>
      <c r="G27" s="104"/>
      <c r="H27" s="106"/>
      <c r="I27" s="107"/>
    </row>
    <row r="28" spans="1:9" x14ac:dyDescent="0.25">
      <c r="A28" s="99"/>
      <c r="B28" s="99"/>
      <c r="C28" s="104"/>
      <c r="D28" s="104"/>
      <c r="E28" s="20"/>
      <c r="F28" s="105"/>
      <c r="G28" s="104"/>
      <c r="H28" s="106"/>
      <c r="I28" s="107"/>
    </row>
    <row r="29" spans="1:9" x14ac:dyDescent="0.25">
      <c r="A29" s="99"/>
      <c r="B29" s="99"/>
      <c r="C29" s="104"/>
      <c r="D29" s="104"/>
      <c r="E29" s="20"/>
      <c r="F29" s="105"/>
      <c r="G29" s="104"/>
      <c r="H29" s="106"/>
      <c r="I29" s="107"/>
    </row>
    <row r="30" spans="1:9" x14ac:dyDescent="0.25">
      <c r="A30" s="99"/>
      <c r="B30" s="99"/>
      <c r="C30" s="104"/>
      <c r="D30" s="104"/>
      <c r="E30" s="20"/>
      <c r="F30" s="105"/>
      <c r="G30" s="104"/>
      <c r="H30" s="106"/>
      <c r="I30" s="107"/>
    </row>
    <row r="31" spans="1:9" x14ac:dyDescent="0.25">
      <c r="A31" s="99"/>
      <c r="B31" s="99"/>
      <c r="C31" s="104"/>
      <c r="D31" s="104"/>
      <c r="E31" s="20"/>
      <c r="F31" s="105"/>
      <c r="G31" s="104"/>
      <c r="H31" s="106"/>
      <c r="I31" s="107"/>
    </row>
    <row r="32" spans="1:9" x14ac:dyDescent="0.25">
      <c r="A32" s="99"/>
      <c r="B32" s="99"/>
      <c r="C32" s="104"/>
      <c r="D32" s="104"/>
      <c r="E32" s="20"/>
      <c r="F32" s="105"/>
      <c r="G32" s="104"/>
      <c r="H32" s="106"/>
      <c r="I32" s="107"/>
    </row>
    <row r="33" spans="1:9" x14ac:dyDescent="0.25">
      <c r="A33" s="99"/>
      <c r="B33" s="99"/>
      <c r="C33" s="104"/>
      <c r="D33" s="104"/>
      <c r="E33" s="20"/>
      <c r="F33" s="105"/>
      <c r="G33" s="104"/>
      <c r="H33" s="106"/>
      <c r="I33" s="107"/>
    </row>
    <row r="34" spans="1:9" x14ac:dyDescent="0.25">
      <c r="A34" s="99"/>
      <c r="B34" s="99"/>
      <c r="C34" s="104"/>
      <c r="D34" s="104"/>
      <c r="E34" s="20"/>
      <c r="F34" s="105"/>
      <c r="G34" s="104"/>
      <c r="H34" s="106"/>
      <c r="I34" s="107"/>
    </row>
    <row r="35" spans="1:9" x14ac:dyDescent="0.25">
      <c r="A35" s="99"/>
      <c r="B35" s="99"/>
      <c r="C35" s="104"/>
      <c r="D35" s="104"/>
      <c r="E35" s="20"/>
      <c r="F35" s="105"/>
      <c r="G35" s="104"/>
      <c r="H35" s="106"/>
      <c r="I35" s="107"/>
    </row>
    <row r="36" spans="1:9" x14ac:dyDescent="0.25">
      <c r="A36" s="99"/>
      <c r="B36" s="99"/>
      <c r="C36" s="104"/>
      <c r="D36" s="104"/>
      <c r="E36" s="20"/>
      <c r="F36" s="105"/>
      <c r="G36" s="104"/>
      <c r="H36" s="106"/>
      <c r="I36" s="107"/>
    </row>
    <row r="37" spans="1:9" x14ac:dyDescent="0.25">
      <c r="A37" s="99"/>
      <c r="B37" s="99"/>
      <c r="C37" s="104"/>
      <c r="D37" s="104"/>
      <c r="E37" s="20"/>
      <c r="F37" s="105"/>
      <c r="G37" s="104"/>
      <c r="H37" s="106"/>
      <c r="I37" s="107"/>
    </row>
    <row r="38" spans="1:9" x14ac:dyDescent="0.25">
      <c r="A38" s="99"/>
      <c r="B38" s="99"/>
      <c r="C38" s="104"/>
      <c r="D38" s="104"/>
      <c r="E38" s="20"/>
      <c r="F38" s="105"/>
      <c r="G38" s="104"/>
      <c r="H38" s="106"/>
      <c r="I38" s="107"/>
    </row>
    <row r="39" spans="1:9" x14ac:dyDescent="0.25">
      <c r="A39" s="99"/>
      <c r="B39" s="99"/>
      <c r="C39" s="104"/>
      <c r="D39" s="104"/>
      <c r="E39" s="20"/>
      <c r="F39" s="105"/>
      <c r="G39" s="104"/>
      <c r="H39" s="106"/>
      <c r="I39" s="107"/>
    </row>
    <row r="40" spans="1:9" x14ac:dyDescent="0.25">
      <c r="A40" s="99"/>
      <c r="B40" s="99"/>
      <c r="C40" s="104"/>
      <c r="D40" s="104"/>
      <c r="E40" s="20"/>
      <c r="F40" s="105"/>
      <c r="G40" s="104"/>
      <c r="H40" s="106"/>
      <c r="I40" s="107"/>
    </row>
    <row r="41" spans="1:9" x14ac:dyDescent="0.25">
      <c r="A41" s="99"/>
      <c r="B41" s="99"/>
      <c r="C41" s="104"/>
      <c r="D41" s="104"/>
      <c r="E41" s="20"/>
      <c r="F41" s="105"/>
      <c r="G41" s="104"/>
      <c r="H41" s="106"/>
      <c r="I41" s="107"/>
    </row>
    <row r="42" spans="1:9" x14ac:dyDescent="0.25">
      <c r="A42" s="99"/>
      <c r="B42" s="99"/>
      <c r="C42" s="104"/>
      <c r="D42" s="104"/>
      <c r="E42" s="20"/>
      <c r="F42" s="105"/>
      <c r="G42" s="104"/>
      <c r="H42" s="106"/>
      <c r="I42" s="107"/>
    </row>
    <row r="43" spans="1:9" x14ac:dyDescent="0.25">
      <c r="A43" s="99"/>
      <c r="B43" s="99"/>
      <c r="C43" s="104"/>
      <c r="D43" s="104"/>
      <c r="E43" s="20"/>
      <c r="F43" s="105"/>
      <c r="G43" s="104"/>
      <c r="H43" s="106"/>
      <c r="I43" s="107"/>
    </row>
    <row r="44" spans="1:9" x14ac:dyDescent="0.25">
      <c r="A44" s="99"/>
      <c r="B44" s="99"/>
      <c r="C44" s="104"/>
      <c r="D44" s="104"/>
      <c r="E44" s="20"/>
      <c r="F44" s="105"/>
      <c r="G44" s="104"/>
      <c r="H44" s="106"/>
      <c r="I44" s="107"/>
    </row>
    <row r="45" spans="1:9" x14ac:dyDescent="0.25">
      <c r="A45" s="99"/>
      <c r="B45" s="99"/>
      <c r="C45" s="104"/>
      <c r="D45" s="104"/>
      <c r="E45" s="20"/>
      <c r="F45" s="105"/>
      <c r="G45" s="104"/>
      <c r="H45" s="106"/>
      <c r="I45" s="107"/>
    </row>
    <row r="46" spans="1:9" x14ac:dyDescent="0.25">
      <c r="A46" s="99"/>
      <c r="B46" s="99"/>
      <c r="C46" s="104"/>
      <c r="D46" s="104"/>
      <c r="E46" s="20"/>
      <c r="F46" s="105"/>
      <c r="G46" s="104"/>
      <c r="H46" s="106"/>
      <c r="I46" s="107"/>
    </row>
    <row r="47" spans="1:9" x14ac:dyDescent="0.25">
      <c r="A47" s="99"/>
      <c r="B47" s="99"/>
      <c r="C47" s="104"/>
      <c r="D47" s="104"/>
      <c r="E47" s="20"/>
      <c r="F47" s="105"/>
      <c r="G47" s="104"/>
      <c r="H47" s="106"/>
      <c r="I47" s="107"/>
    </row>
    <row r="48" spans="1:9" x14ac:dyDescent="0.25">
      <c r="A48" s="99"/>
      <c r="B48" s="99"/>
      <c r="C48" s="104"/>
      <c r="D48" s="104"/>
      <c r="E48" s="20"/>
      <c r="F48" s="105"/>
      <c r="G48" s="104"/>
      <c r="H48" s="106"/>
      <c r="I48" s="107"/>
    </row>
    <row r="49" spans="1:9" x14ac:dyDescent="0.25">
      <c r="A49" s="99"/>
      <c r="B49" s="99"/>
      <c r="C49" s="104"/>
      <c r="D49" s="104"/>
      <c r="E49" s="20"/>
      <c r="F49" s="105"/>
      <c r="G49" s="104"/>
      <c r="H49" s="106"/>
      <c r="I49" s="107"/>
    </row>
    <row r="50" spans="1:9" x14ac:dyDescent="0.25">
      <c r="A50" s="99"/>
      <c r="B50" s="99"/>
      <c r="C50" s="104"/>
      <c r="D50" s="104"/>
      <c r="E50" s="20"/>
      <c r="F50" s="105"/>
      <c r="G50" s="104"/>
      <c r="H50" s="106"/>
      <c r="I50" s="107"/>
    </row>
    <row r="51" spans="1:9" x14ac:dyDescent="0.25">
      <c r="A51" s="99"/>
      <c r="B51" s="99"/>
      <c r="C51" s="104"/>
      <c r="D51" s="104"/>
      <c r="E51" s="20"/>
      <c r="F51" s="105"/>
      <c r="G51" s="104"/>
      <c r="H51" s="106"/>
      <c r="I51" s="107"/>
    </row>
    <row r="52" spans="1:9" x14ac:dyDescent="0.25">
      <c r="A52" s="99"/>
      <c r="B52" s="99"/>
      <c r="C52" s="104"/>
      <c r="D52" s="104"/>
      <c r="E52" s="20"/>
      <c r="F52" s="105"/>
      <c r="G52" s="104"/>
      <c r="H52" s="106"/>
      <c r="I52" s="107"/>
    </row>
    <row r="53" spans="1:9" x14ac:dyDescent="0.25">
      <c r="A53" s="99"/>
      <c r="B53" s="99"/>
      <c r="C53" s="104"/>
      <c r="D53" s="104"/>
      <c r="E53" s="20"/>
      <c r="F53" s="105"/>
      <c r="G53" s="104"/>
      <c r="H53" s="106"/>
      <c r="I53" s="107"/>
    </row>
    <row r="54" spans="1:9" x14ac:dyDescent="0.25">
      <c r="A54" s="99"/>
      <c r="B54" s="99"/>
      <c r="C54" s="104"/>
      <c r="D54" s="104"/>
      <c r="E54" s="20"/>
      <c r="F54" s="105"/>
      <c r="G54" s="104"/>
      <c r="H54" s="106"/>
      <c r="I54" s="107"/>
    </row>
    <row r="55" spans="1:9" x14ac:dyDescent="0.25">
      <c r="A55" s="99"/>
      <c r="B55" s="99"/>
      <c r="C55" s="104"/>
      <c r="D55" s="104"/>
      <c r="E55" s="20"/>
      <c r="F55" s="105"/>
      <c r="G55" s="104"/>
      <c r="H55" s="106"/>
      <c r="I55" s="107"/>
    </row>
    <row r="56" spans="1:9" x14ac:dyDescent="0.25">
      <c r="A56" s="99"/>
      <c r="B56" s="99"/>
      <c r="C56" s="104"/>
      <c r="D56" s="104"/>
      <c r="E56" s="20"/>
      <c r="F56" s="105"/>
      <c r="G56" s="104"/>
      <c r="H56" s="106"/>
      <c r="I56" s="107"/>
    </row>
    <row r="57" spans="1:9" x14ac:dyDescent="0.25">
      <c r="A57" s="99"/>
      <c r="B57" s="99"/>
      <c r="C57" s="104"/>
      <c r="D57" s="104"/>
      <c r="E57" s="20"/>
      <c r="F57" s="105"/>
      <c r="G57" s="104"/>
      <c r="H57" s="106"/>
      <c r="I57" s="107"/>
    </row>
    <row r="58" spans="1:9" x14ac:dyDescent="0.25">
      <c r="A58" s="99"/>
      <c r="B58" s="99"/>
      <c r="C58" s="104"/>
      <c r="D58" s="104"/>
      <c r="E58" s="20"/>
      <c r="F58" s="105"/>
      <c r="G58" s="104"/>
      <c r="H58" s="106"/>
      <c r="I58" s="107"/>
    </row>
    <row r="59" spans="1:9" x14ac:dyDescent="0.25">
      <c r="A59" s="99"/>
      <c r="B59" s="99"/>
      <c r="C59" s="104"/>
      <c r="D59" s="104"/>
      <c r="E59" s="20"/>
      <c r="F59" s="105"/>
      <c r="G59" s="104"/>
      <c r="H59" s="106"/>
      <c r="I59" s="107"/>
    </row>
    <row r="60" spans="1:9" x14ac:dyDescent="0.25">
      <c r="A60" s="99"/>
      <c r="B60" s="99"/>
      <c r="C60" s="104"/>
      <c r="D60" s="104"/>
      <c r="E60" s="20"/>
      <c r="F60" s="105"/>
      <c r="G60" s="104"/>
      <c r="H60" s="106"/>
      <c r="I60" s="107"/>
    </row>
    <row r="61" spans="1:9" x14ac:dyDescent="0.25">
      <c r="A61" s="99"/>
      <c r="B61" s="99"/>
      <c r="C61" s="104"/>
      <c r="D61" s="104"/>
      <c r="E61" s="20"/>
      <c r="F61" s="105"/>
      <c r="G61" s="104"/>
      <c r="H61" s="106"/>
      <c r="I61" s="107"/>
    </row>
    <row r="62" spans="1:9" x14ac:dyDescent="0.25">
      <c r="A62" s="99"/>
      <c r="B62" s="99"/>
      <c r="C62" s="104"/>
      <c r="D62" s="104"/>
      <c r="E62" s="20"/>
      <c r="F62" s="105"/>
      <c r="G62" s="104"/>
      <c r="H62" s="106"/>
      <c r="I62" s="107"/>
    </row>
    <row r="63" spans="1:9" x14ac:dyDescent="0.25">
      <c r="A63" s="99"/>
      <c r="B63" s="99"/>
      <c r="C63" s="104"/>
      <c r="D63" s="104"/>
      <c r="E63" s="20"/>
      <c r="F63" s="105"/>
      <c r="G63" s="104"/>
      <c r="H63" s="106"/>
      <c r="I63" s="107"/>
    </row>
    <row r="64" spans="1:9" x14ac:dyDescent="0.25">
      <c r="A64" s="99"/>
      <c r="B64" s="99"/>
      <c r="C64" s="104"/>
      <c r="D64" s="104"/>
      <c r="E64" s="20"/>
      <c r="F64" s="105"/>
      <c r="G64" s="104"/>
      <c r="H64" s="106"/>
      <c r="I64" s="107"/>
    </row>
    <row r="65" spans="1:9" x14ac:dyDescent="0.25">
      <c r="A65" s="99"/>
      <c r="B65" s="99"/>
      <c r="C65" s="104"/>
      <c r="D65" s="104"/>
      <c r="E65" s="20"/>
      <c r="F65" s="105"/>
      <c r="G65" s="104"/>
      <c r="H65" s="106"/>
      <c r="I65" s="107"/>
    </row>
    <row r="66" spans="1:9" x14ac:dyDescent="0.25">
      <c r="A66" s="99"/>
      <c r="B66" s="99"/>
      <c r="C66" s="104"/>
      <c r="D66" s="104"/>
      <c r="E66" s="20"/>
      <c r="F66" s="105"/>
      <c r="G66" s="104"/>
      <c r="H66" s="106"/>
      <c r="I66" s="107"/>
    </row>
    <row r="67" spans="1:9" x14ac:dyDescent="0.25">
      <c r="A67" s="99"/>
      <c r="B67" s="99"/>
      <c r="C67" s="104"/>
      <c r="D67" s="104"/>
      <c r="E67" s="20"/>
      <c r="F67" s="105"/>
      <c r="G67" s="104"/>
      <c r="H67" s="106"/>
      <c r="I67" s="107"/>
    </row>
    <row r="68" spans="1:9" x14ac:dyDescent="0.25">
      <c r="A68" s="99"/>
      <c r="B68" s="99"/>
      <c r="C68" s="104"/>
      <c r="D68" s="104"/>
      <c r="E68" s="20"/>
      <c r="F68" s="105"/>
      <c r="G68" s="104"/>
      <c r="H68" s="106"/>
      <c r="I68" s="107"/>
    </row>
    <row r="69" spans="1:9" x14ac:dyDescent="0.25">
      <c r="A69" s="99"/>
      <c r="B69" s="99"/>
      <c r="C69" s="104"/>
      <c r="D69" s="104"/>
      <c r="E69" s="20"/>
      <c r="F69" s="105"/>
      <c r="G69" s="104"/>
      <c r="H69" s="106"/>
      <c r="I69" s="107"/>
    </row>
    <row r="70" spans="1:9" x14ac:dyDescent="0.25">
      <c r="A70" s="99"/>
      <c r="B70" s="99"/>
      <c r="C70" s="104"/>
      <c r="D70" s="104"/>
      <c r="E70" s="20"/>
      <c r="F70" s="105"/>
      <c r="G70" s="104"/>
      <c r="H70" s="106"/>
      <c r="I70" s="107"/>
    </row>
    <row r="71" spans="1:9" x14ac:dyDescent="0.25">
      <c r="A71" s="99"/>
      <c r="B71" s="99"/>
      <c r="C71" s="104"/>
      <c r="D71" s="104"/>
      <c r="E71" s="20"/>
      <c r="F71" s="105"/>
      <c r="G71" s="104"/>
      <c r="H71" s="106"/>
      <c r="I71" s="107"/>
    </row>
    <row r="72" spans="1:9" x14ac:dyDescent="0.25">
      <c r="A72" s="99"/>
      <c r="B72" s="99"/>
      <c r="C72" s="104"/>
      <c r="D72" s="104"/>
      <c r="E72" s="20"/>
      <c r="F72" s="105"/>
      <c r="G72" s="104"/>
      <c r="H72" s="106"/>
      <c r="I72" s="107"/>
    </row>
    <row r="73" spans="1:9" x14ac:dyDescent="0.25">
      <c r="A73" s="99"/>
      <c r="B73" s="99"/>
      <c r="C73" s="104"/>
      <c r="D73" s="104"/>
      <c r="E73" s="20"/>
      <c r="F73" s="105"/>
      <c r="G73" s="104"/>
      <c r="H73" s="106"/>
      <c r="I73" s="107"/>
    </row>
    <row r="74" spans="1:9" x14ac:dyDescent="0.25">
      <c r="A74" s="99"/>
      <c r="B74" s="99"/>
      <c r="C74" s="104"/>
      <c r="D74" s="104"/>
      <c r="E74" s="20"/>
      <c r="F74" s="105"/>
      <c r="G74" s="104"/>
      <c r="H74" s="106"/>
      <c r="I74" s="107"/>
    </row>
    <row r="75" spans="1:9" x14ac:dyDescent="0.25">
      <c r="A75" s="99"/>
      <c r="B75" s="99"/>
      <c r="C75" s="104"/>
      <c r="D75" s="104"/>
      <c r="E75" s="20"/>
      <c r="F75" s="105"/>
      <c r="G75" s="104"/>
      <c r="H75" s="106"/>
      <c r="I75" s="107"/>
    </row>
    <row r="76" spans="1:9" x14ac:dyDescent="0.25">
      <c r="A76" s="99"/>
      <c r="B76" s="99"/>
      <c r="C76" s="104"/>
      <c r="D76" s="104"/>
      <c r="E76" s="20"/>
      <c r="F76" s="105"/>
      <c r="G76" s="104"/>
      <c r="H76" s="106"/>
      <c r="I76" s="107"/>
    </row>
    <row r="77" spans="1:9" x14ac:dyDescent="0.25">
      <c r="A77" s="99"/>
      <c r="B77" s="99"/>
      <c r="C77" s="104"/>
      <c r="D77" s="104"/>
      <c r="E77" s="20"/>
      <c r="F77" s="105"/>
      <c r="G77" s="104"/>
      <c r="H77" s="106"/>
      <c r="I77" s="107"/>
    </row>
    <row r="78" spans="1:9" x14ac:dyDescent="0.25">
      <c r="A78" s="99"/>
      <c r="B78" s="99"/>
      <c r="C78" s="104"/>
      <c r="D78" s="104"/>
      <c r="E78" s="20"/>
      <c r="F78" s="105"/>
      <c r="G78" s="104"/>
      <c r="H78" s="106"/>
      <c r="I78" s="107"/>
    </row>
    <row r="79" spans="1:9" x14ac:dyDescent="0.25">
      <c r="A79" s="99"/>
      <c r="B79" s="99"/>
      <c r="C79" s="104"/>
      <c r="D79" s="104"/>
      <c r="E79" s="20"/>
      <c r="F79" s="105"/>
      <c r="G79" s="104"/>
      <c r="H79" s="106"/>
      <c r="I79" s="107"/>
    </row>
    <row r="80" spans="1:9" x14ac:dyDescent="0.25">
      <c r="A80" s="99"/>
      <c r="B80" s="99"/>
      <c r="C80" s="104"/>
      <c r="D80" s="104"/>
      <c r="E80" s="20"/>
      <c r="F80" s="105"/>
      <c r="G80" s="104"/>
      <c r="H80" s="106"/>
      <c r="I80" s="107"/>
    </row>
    <row r="81" spans="1:9" x14ac:dyDescent="0.25">
      <c r="A81" s="99"/>
      <c r="B81" s="99"/>
      <c r="C81" s="104"/>
      <c r="D81" s="104"/>
      <c r="E81" s="20"/>
      <c r="F81" s="105"/>
      <c r="G81" s="104"/>
      <c r="H81" s="106"/>
      <c r="I81" s="107"/>
    </row>
    <row r="82" spans="1:9" x14ac:dyDescent="0.25">
      <c r="A82" s="99"/>
      <c r="B82" s="99"/>
      <c r="C82" s="104"/>
      <c r="D82" s="104"/>
      <c r="E82" s="20"/>
      <c r="F82" s="105"/>
      <c r="G82" s="104"/>
      <c r="H82" s="106"/>
      <c r="I82" s="107"/>
    </row>
    <row r="83" spans="1:9" x14ac:dyDescent="0.25">
      <c r="A83" s="99"/>
      <c r="B83" s="99"/>
      <c r="C83" s="104"/>
      <c r="D83" s="104"/>
      <c r="E83" s="20"/>
      <c r="F83" s="105"/>
      <c r="G83" s="104"/>
      <c r="H83" s="106"/>
      <c r="I83" s="107"/>
    </row>
    <row r="84" spans="1:9" x14ac:dyDescent="0.25">
      <c r="A84" s="99"/>
      <c r="B84" s="99"/>
      <c r="C84" s="104"/>
      <c r="D84" s="104"/>
      <c r="E84" s="20"/>
      <c r="F84" s="105"/>
      <c r="G84" s="104"/>
      <c r="H84" s="106"/>
      <c r="I84" s="107"/>
    </row>
    <row r="85" spans="1:9" x14ac:dyDescent="0.25">
      <c r="A85" s="99"/>
      <c r="B85" s="99"/>
      <c r="C85" s="104"/>
      <c r="D85" s="104"/>
      <c r="E85" s="20"/>
      <c r="F85" s="105"/>
      <c r="G85" s="104"/>
      <c r="H85" s="106"/>
      <c r="I85" s="107"/>
    </row>
    <row r="86" spans="1:9" x14ac:dyDescent="0.25">
      <c r="A86" s="99"/>
      <c r="B86" s="99"/>
      <c r="C86" s="104"/>
      <c r="D86" s="104"/>
      <c r="E86" s="20"/>
      <c r="F86" s="105"/>
      <c r="G86" s="104"/>
      <c r="H86" s="106"/>
      <c r="I86" s="107"/>
    </row>
    <row r="87" spans="1:9" x14ac:dyDescent="0.25">
      <c r="A87" s="99"/>
      <c r="B87" s="99"/>
      <c r="C87" s="104"/>
      <c r="D87" s="104"/>
      <c r="E87" s="20"/>
      <c r="F87" s="105"/>
      <c r="G87" s="104"/>
      <c r="H87" s="106"/>
      <c r="I87" s="107"/>
    </row>
  </sheetData>
  <autoFilter ref="A4:I4" xr:uid="{00000000-0001-0000-0200-000000000000}"/>
  <sortState xmlns:xlrd2="http://schemas.microsoft.com/office/spreadsheetml/2017/richdata2" ref="A10:I15">
    <sortCondition descending="1" ref="I10:I15"/>
  </sortState>
  <mergeCells count="4">
    <mergeCell ref="A1:I1"/>
    <mergeCell ref="H3:I3"/>
    <mergeCell ref="F3:G3"/>
    <mergeCell ref="C3:E3"/>
  </mergeCells>
  <printOptions horizontalCentered="1"/>
  <pageMargins left="0.25" right="0.25" top="0.75" bottom="0.75" header="0.3" footer="0.3"/>
  <pageSetup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DF2DAD-3C89-434E-8FAF-11995799FF0D}">
  <sheetPr codeName="Sheet8">
    <tabColor theme="4" tint="-0.249977111117893"/>
  </sheetPr>
  <dimension ref="A1:G28"/>
  <sheetViews>
    <sheetView workbookViewId="0">
      <selection activeCell="U50" sqref="U50"/>
    </sheetView>
  </sheetViews>
  <sheetFormatPr defaultRowHeight="15" x14ac:dyDescent="0.25"/>
  <sheetData>
    <row r="1" spans="1:7" x14ac:dyDescent="0.25">
      <c r="A1" t="s">
        <v>87</v>
      </c>
      <c r="B1">
        <v>0.1</v>
      </c>
    </row>
    <row r="2" spans="1:7" x14ac:dyDescent="0.25">
      <c r="A2" t="s">
        <v>89</v>
      </c>
      <c r="B2">
        <v>0.1</v>
      </c>
    </row>
    <row r="3" spans="1:7" x14ac:dyDescent="0.25">
      <c r="A3" t="s">
        <v>138</v>
      </c>
      <c r="B3">
        <v>0.1</v>
      </c>
    </row>
    <row r="4" spans="1:7" x14ac:dyDescent="0.25">
      <c r="A4" t="s">
        <v>232</v>
      </c>
      <c r="B4">
        <v>0.1</v>
      </c>
    </row>
    <row r="5" spans="1:7" x14ac:dyDescent="0.25">
      <c r="A5" t="s">
        <v>140</v>
      </c>
      <c r="B5">
        <v>0.1</v>
      </c>
    </row>
    <row r="6" spans="1:7" x14ac:dyDescent="0.25">
      <c r="A6" t="s">
        <v>65</v>
      </c>
      <c r="B6">
        <v>0.5</v>
      </c>
    </row>
    <row r="7" spans="1:7" x14ac:dyDescent="0.25">
      <c r="A7" t="s">
        <v>17</v>
      </c>
      <c r="B7">
        <v>0.4</v>
      </c>
    </row>
    <row r="8" spans="1:7" x14ac:dyDescent="0.25">
      <c r="A8" t="s">
        <v>58</v>
      </c>
      <c r="B8">
        <v>1.5</v>
      </c>
    </row>
    <row r="9" spans="1:7" x14ac:dyDescent="0.25">
      <c r="A9" t="s">
        <v>23</v>
      </c>
      <c r="B9">
        <v>1</v>
      </c>
      <c r="F9" s="221" t="s">
        <v>9</v>
      </c>
      <c r="G9" s="142" t="s">
        <v>215</v>
      </c>
    </row>
    <row r="10" spans="1:7" x14ac:dyDescent="0.25">
      <c r="A10" t="s">
        <v>30</v>
      </c>
      <c r="B10">
        <v>0.1</v>
      </c>
      <c r="F10" s="221" t="s">
        <v>49</v>
      </c>
      <c r="G10" s="142" t="s">
        <v>216</v>
      </c>
    </row>
    <row r="11" spans="1:7" x14ac:dyDescent="0.25">
      <c r="A11" t="s">
        <v>59</v>
      </c>
      <c r="B11">
        <v>0.1</v>
      </c>
      <c r="F11" s="221" t="s">
        <v>33</v>
      </c>
      <c r="G11" s="142" t="s">
        <v>217</v>
      </c>
    </row>
    <row r="12" spans="1:7" x14ac:dyDescent="0.25">
      <c r="A12" t="s">
        <v>37</v>
      </c>
      <c r="B12">
        <v>0.1</v>
      </c>
      <c r="F12" s="221" t="s">
        <v>131</v>
      </c>
      <c r="G12" s="142" t="s">
        <v>218</v>
      </c>
    </row>
    <row r="13" spans="1:7" x14ac:dyDescent="0.25">
      <c r="A13" t="s">
        <v>46</v>
      </c>
      <c r="B13">
        <v>0.1</v>
      </c>
    </row>
    <row r="14" spans="1:7" x14ac:dyDescent="0.25">
      <c r="A14" t="s">
        <v>34</v>
      </c>
      <c r="B14">
        <v>0.1</v>
      </c>
    </row>
    <row r="15" spans="1:7" x14ac:dyDescent="0.25">
      <c r="A15" t="s">
        <v>39</v>
      </c>
      <c r="B15">
        <v>0.1</v>
      </c>
    </row>
    <row r="16" spans="1:7" x14ac:dyDescent="0.25">
      <c r="A16" t="s">
        <v>222</v>
      </c>
      <c r="B16">
        <v>0.1</v>
      </c>
    </row>
    <row r="17" spans="1:2" x14ac:dyDescent="0.25">
      <c r="A17" t="s">
        <v>41</v>
      </c>
      <c r="B17">
        <v>0.1</v>
      </c>
    </row>
    <row r="18" spans="1:2" x14ac:dyDescent="0.25">
      <c r="A18" t="s">
        <v>233</v>
      </c>
      <c r="B18">
        <v>0.8</v>
      </c>
    </row>
    <row r="19" spans="1:2" x14ac:dyDescent="0.25">
      <c r="A19" t="s">
        <v>230</v>
      </c>
      <c r="B19">
        <v>0.1</v>
      </c>
    </row>
    <row r="20" spans="1:2" x14ac:dyDescent="0.25">
      <c r="A20" t="s">
        <v>71</v>
      </c>
      <c r="B20">
        <v>1</v>
      </c>
    </row>
    <row r="21" spans="1:2" x14ac:dyDescent="0.25">
      <c r="A21" t="s">
        <v>72</v>
      </c>
      <c r="B21">
        <v>0.4</v>
      </c>
    </row>
    <row r="22" spans="1:2" x14ac:dyDescent="0.25">
      <c r="A22" t="s">
        <v>234</v>
      </c>
      <c r="B22">
        <v>0.8</v>
      </c>
    </row>
    <row r="23" spans="1:2" x14ac:dyDescent="0.25">
      <c r="A23" s="221" t="s">
        <v>9</v>
      </c>
      <c r="B23" cm="1">
        <f t="array" aca="1" ref="B23" ca="1">+OFFSET(VSP,0,1)+OFFSET(_5jr,0,1)+OFFSET(RIK,0,1)+OFFSET(S3I,0,1)</f>
        <v>3.2</v>
      </c>
    </row>
    <row r="24" spans="1:2" x14ac:dyDescent="0.25">
      <c r="A24" s="221" t="s">
        <v>49</v>
      </c>
      <c r="B24">
        <f ca="1">+OFFSET(RIA,0,1)+OFFSET(CAV,0,1)</f>
        <v>0.2</v>
      </c>
    </row>
    <row r="25" spans="1:2" x14ac:dyDescent="0.25">
      <c r="A25" s="221" t="s">
        <v>33</v>
      </c>
      <c r="B25">
        <f ca="1">+OFFSET(VAV,0,1)+OFFSET(CAV,0,1)</f>
        <v>0.2</v>
      </c>
    </row>
    <row r="26" spans="1:2" x14ac:dyDescent="0.25">
      <c r="A26" s="221" t="s">
        <v>131</v>
      </c>
      <c r="B26">
        <f ca="1">+OFFSET(W2D,0,1)+OFFSET(VRS,0,1)</f>
        <v>0.2</v>
      </c>
    </row>
    <row r="27" spans="1:2" x14ac:dyDescent="0.25">
      <c r="A27" s="223" t="s">
        <v>235</v>
      </c>
      <c r="B27">
        <v>0.1</v>
      </c>
    </row>
    <row r="28" spans="1:2" x14ac:dyDescent="0.25">
      <c r="A28" s="223" t="s">
        <v>26</v>
      </c>
      <c r="B28">
        <f ca="1">+OFFSET(VYW,0,1)+OFFSET(W0A,0,1)</f>
        <v>0.2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E5E0523921ED247BAD1EC3E261A1291" ma:contentTypeVersion="16" ma:contentTypeDescription="Create a new document." ma:contentTypeScope="" ma:versionID="6795af46ad588133f7b915df4c75dbaf">
  <xsd:schema xmlns:xsd="http://www.w3.org/2001/XMLSchema" xmlns:xs="http://www.w3.org/2001/XMLSchema" xmlns:p="http://schemas.microsoft.com/office/2006/metadata/properties" xmlns:ns3="bad8c4ec-d690-44df-943a-494ca644f03e" xmlns:ns4="a784684e-3ba4-4789-a7c8-c609cf01cbb4" targetNamespace="http://schemas.microsoft.com/office/2006/metadata/properties" ma:root="true" ma:fieldsID="6e41c22f56935c7939b370839264c00c" ns3:_="" ns4:_="">
    <xsd:import namespace="bad8c4ec-d690-44df-943a-494ca644f03e"/>
    <xsd:import namespace="a784684e-3ba4-4789-a7c8-c609cf01cbb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d8c4ec-d690-44df-943a-494ca644f0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84684e-3ba4-4789-a7c8-c609cf01cbb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ad8c4ec-d690-44df-943a-494ca644f03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781B604-6522-4BD7-9537-6C70BB023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ad8c4ec-d690-44df-943a-494ca644f03e"/>
    <ds:schemaRef ds:uri="a784684e-3ba4-4789-a7c8-c609cf01cb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0EAE74-5EE9-44E9-8913-45348D538810}">
  <ds:schemaRefs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elements/1.1/"/>
    <ds:schemaRef ds:uri="bad8c4ec-d690-44df-943a-494ca644f03e"/>
    <ds:schemaRef ds:uri="a784684e-3ba4-4789-a7c8-c609cf01cbb4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B2CBAF2-F44F-4BE9-99D9-B51D9FB4E31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194</vt:i4>
      </vt:variant>
    </vt:vector>
  </HeadingPairs>
  <TitlesOfParts>
    <vt:vector size="211" baseType="lpstr">
      <vt:lpstr>Home</vt:lpstr>
      <vt:lpstr>2026 Escalade</vt:lpstr>
      <vt:lpstr>Escalade Ref</vt:lpstr>
      <vt:lpstr>2026 Escalade IQ</vt:lpstr>
      <vt:lpstr>Escalade IQ Ref</vt:lpstr>
      <vt:lpstr>2026 Vistiq</vt:lpstr>
      <vt:lpstr>Vistiq Ref</vt:lpstr>
      <vt:lpstr>26 Optiq</vt:lpstr>
      <vt:lpstr>Optiq Ref</vt:lpstr>
      <vt:lpstr>26 Lyriq</vt:lpstr>
      <vt:lpstr>Lyriq Ref</vt:lpstr>
      <vt:lpstr>26 CT5</vt:lpstr>
      <vt:lpstr>CT5 Ref</vt:lpstr>
      <vt:lpstr>26 CT4</vt:lpstr>
      <vt:lpstr>CT4 Ref</vt:lpstr>
      <vt:lpstr>26 XT5</vt:lpstr>
      <vt:lpstr>XT5 Ref</vt:lpstr>
      <vt:lpstr>'Escalade Ref'!_5FD</vt:lpstr>
      <vt:lpstr>_5FD</vt:lpstr>
      <vt:lpstr>'XT5 Ref'!_5HR</vt:lpstr>
      <vt:lpstr>'Lyriq Ref'!_5JR</vt:lpstr>
      <vt:lpstr>'Optiq Ref'!_5jr</vt:lpstr>
      <vt:lpstr>'CT4 Ref'!_5JS</vt:lpstr>
      <vt:lpstr>'CT5 Ref'!_5JS</vt:lpstr>
      <vt:lpstr>'CT4 Ref'!_5K2</vt:lpstr>
      <vt:lpstr>'CT5 Ref'!_5KB</vt:lpstr>
      <vt:lpstr>'CT4 Ref'!_5V5</vt:lpstr>
      <vt:lpstr>'CT5 Ref'!_5V5</vt:lpstr>
      <vt:lpstr>'CT4 Ref'!_5XR</vt:lpstr>
      <vt:lpstr>'CT5 Ref'!_5XR</vt:lpstr>
      <vt:lpstr>'XT5 Ref'!_qj5</vt:lpstr>
      <vt:lpstr>'Escalade Ref'!_R88</vt:lpstr>
      <vt:lpstr>'CT4 Ref'!_ry2</vt:lpstr>
      <vt:lpstr>'Escalade IQ Ref'!_sa2</vt:lpstr>
      <vt:lpstr>'CT5 Ref'!_SB9</vt:lpstr>
      <vt:lpstr>'XT5 Ref'!_sb9</vt:lpstr>
      <vt:lpstr>'Escalade IQ Ref'!_SF3</vt:lpstr>
      <vt:lpstr>'Escalade IQ Ref'!_sf7</vt:lpstr>
      <vt:lpstr>'Lyriq Ref'!_sf9</vt:lpstr>
      <vt:lpstr>'Escalade Ref'!_SJ9</vt:lpstr>
      <vt:lpstr>'XT5 Ref'!_sj9</vt:lpstr>
      <vt:lpstr>'CT5 Ref'!_sQ9</vt:lpstr>
      <vt:lpstr>'Escalade Ref'!AAK</vt:lpstr>
      <vt:lpstr>'Escalade IQ Ref'!CAV</vt:lpstr>
      <vt:lpstr>'Escalade Ref'!CAV</vt:lpstr>
      <vt:lpstr>'Lyriq Ref'!CAV</vt:lpstr>
      <vt:lpstr>'Optiq Ref'!CAV</vt:lpstr>
      <vt:lpstr>'Vistiq Ref'!CAV</vt:lpstr>
      <vt:lpstr>'XT5 Ref'!CAV</vt:lpstr>
      <vt:lpstr>'CT4 Ref'!E5K</vt:lpstr>
      <vt:lpstr>'XT5 Ref'!E5K</vt:lpstr>
      <vt:lpstr>Labor</vt:lpstr>
      <vt:lpstr>'Escalade IQ Ref'!PCH</vt:lpstr>
      <vt:lpstr>'Escalade Ref'!PCH</vt:lpstr>
      <vt:lpstr>'2026 Escalade'!Print_Area</vt:lpstr>
      <vt:lpstr>'2026 Escalade IQ'!Print_Area</vt:lpstr>
      <vt:lpstr>'26 CT4'!Print_Area</vt:lpstr>
      <vt:lpstr>'26 CT5'!Print_Area</vt:lpstr>
      <vt:lpstr>'26 Lyriq'!Print_Area</vt:lpstr>
      <vt:lpstr>'26 Optiq'!Print_Area</vt:lpstr>
      <vt:lpstr>'26 XT5'!Print_Area</vt:lpstr>
      <vt:lpstr>'Escalade IQ Ref'!RIA</vt:lpstr>
      <vt:lpstr>'Lyriq Ref'!RIA</vt:lpstr>
      <vt:lpstr>'Optiq Ref'!RIA</vt:lpstr>
      <vt:lpstr>'Vistiq Ref'!RIA</vt:lpstr>
      <vt:lpstr>'XT5 Ref'!RIA</vt:lpstr>
      <vt:lpstr>'Escalade Ref'!RIB</vt:lpstr>
      <vt:lpstr>'CT4 Ref'!RIK</vt:lpstr>
      <vt:lpstr>'CT5 Ref'!RIK</vt:lpstr>
      <vt:lpstr>'Escalade IQ Ref'!RIK</vt:lpstr>
      <vt:lpstr>'Escalade Ref'!RIK</vt:lpstr>
      <vt:lpstr>'Lyriq Ref'!RIK</vt:lpstr>
      <vt:lpstr>'Optiq Ref'!RIK</vt:lpstr>
      <vt:lpstr>'Vistiq Ref'!RIK</vt:lpstr>
      <vt:lpstr>'XT5 Ref'!RIK</vt:lpstr>
      <vt:lpstr>'XT5 Ref'!RVO</vt:lpstr>
      <vt:lpstr>'CT4 Ref'!RWU</vt:lpstr>
      <vt:lpstr>'CT5 Ref'!RWU</vt:lpstr>
      <vt:lpstr>'Escalade IQ Ref'!RWV</vt:lpstr>
      <vt:lpstr>'CT5 Ref'!RXX</vt:lpstr>
      <vt:lpstr>'Escalade IQ Ref'!RYC</vt:lpstr>
      <vt:lpstr>'Optiq Ref'!RYK</vt:lpstr>
      <vt:lpstr>'Optiq Ref'!RYN</vt:lpstr>
      <vt:lpstr>'Escalade IQ Ref'!RYO</vt:lpstr>
      <vt:lpstr>'CT4 Ref'!RYT</vt:lpstr>
      <vt:lpstr>'CT5 Ref'!RYT</vt:lpstr>
      <vt:lpstr>'Escalade IQ Ref'!RYU</vt:lpstr>
      <vt:lpstr>'Lyriq Ref'!RYU</vt:lpstr>
      <vt:lpstr>'Vistiq Ref'!RYU</vt:lpstr>
      <vt:lpstr>'Optiq Ref'!RYW</vt:lpstr>
      <vt:lpstr>'Escalade IQ Ref'!RZN</vt:lpstr>
      <vt:lpstr>'Escalade IQ Ref'!S0M</vt:lpstr>
      <vt:lpstr>'Escalade Ref'!S0M</vt:lpstr>
      <vt:lpstr>'XT5 Ref'!S2K</vt:lpstr>
      <vt:lpstr>'Escalade IQ Ref'!S3I</vt:lpstr>
      <vt:lpstr>'Escalade Ref'!S3I</vt:lpstr>
      <vt:lpstr>'Lyriq Ref'!S3I</vt:lpstr>
      <vt:lpstr>'Optiq Ref'!S3I</vt:lpstr>
      <vt:lpstr>'Vistiq Ref'!S3I</vt:lpstr>
      <vt:lpstr>'XT5 Ref'!S3I</vt:lpstr>
      <vt:lpstr>'Escalade Ref'!SBZ</vt:lpstr>
      <vt:lpstr>'CT4 Ref'!SCY</vt:lpstr>
      <vt:lpstr>'CT5 Ref'!SCY</vt:lpstr>
      <vt:lpstr>'XT5 Ref'!SCY</vt:lpstr>
      <vt:lpstr>'Lyriq Ref'!SDE</vt:lpstr>
      <vt:lpstr>'Optiq Ref'!SDE</vt:lpstr>
      <vt:lpstr>'Vistiq Ref'!SDE</vt:lpstr>
      <vt:lpstr>'XT5 Ref'!SDE</vt:lpstr>
      <vt:lpstr>'Lyriq Ref'!SDR</vt:lpstr>
      <vt:lpstr>'Escalade Ref'!SET</vt:lpstr>
      <vt:lpstr>'Lyriq Ref'!SET</vt:lpstr>
      <vt:lpstr>'CT4 Ref'!SFC</vt:lpstr>
      <vt:lpstr>'CT5 Ref'!SFD</vt:lpstr>
      <vt:lpstr>'CT5 Ref'!SFE</vt:lpstr>
      <vt:lpstr>'Escalade Ref'!SFE</vt:lpstr>
      <vt:lpstr>'XT5 Ref'!SFE</vt:lpstr>
      <vt:lpstr>'Escalade IQ Ref'!SFJ</vt:lpstr>
      <vt:lpstr>'Escalade Ref'!SFJ</vt:lpstr>
      <vt:lpstr>'Lyriq Ref'!SFJ</vt:lpstr>
      <vt:lpstr>'Optiq Ref'!SFJ</vt:lpstr>
      <vt:lpstr>'Vistiq Ref'!SFJ</vt:lpstr>
      <vt:lpstr>'Lyriq Ref'!SFR</vt:lpstr>
      <vt:lpstr>'Lyriq Ref'!SFU</vt:lpstr>
      <vt:lpstr>'CT4 Ref'!SFZ</vt:lpstr>
      <vt:lpstr>'XT5 Ref'!SFZ</vt:lpstr>
      <vt:lpstr>'CT4 Ref'!SGV</vt:lpstr>
      <vt:lpstr>'CT4 Ref'!SKO</vt:lpstr>
      <vt:lpstr>'CT5 Ref'!SKO</vt:lpstr>
      <vt:lpstr>'CT5 Ref'!skW</vt:lpstr>
      <vt:lpstr>'CT5 Ref'!SKX</vt:lpstr>
      <vt:lpstr>'Escalade IQ Ref'!SMS</vt:lpstr>
      <vt:lpstr>'Escalade IQ Ref'!SNL</vt:lpstr>
      <vt:lpstr>'CT4 Ref'!SOU</vt:lpstr>
      <vt:lpstr>'CT4 Ref'!SOX</vt:lpstr>
      <vt:lpstr>'CT4 Ref'!SOY</vt:lpstr>
      <vt:lpstr>'CT4 Ref'!SPQ</vt:lpstr>
      <vt:lpstr>'CT4 Ref'!spy</vt:lpstr>
      <vt:lpstr>'CT5 Ref'!SPY</vt:lpstr>
      <vt:lpstr>'XT5 Ref'!SPY</vt:lpstr>
      <vt:lpstr>'CT4 Ref'!SPZ</vt:lpstr>
      <vt:lpstr>'CT5 Ref'!SPZ</vt:lpstr>
      <vt:lpstr>'Vistiq Ref'!spz</vt:lpstr>
      <vt:lpstr>'XT5 Ref'!SPZ</vt:lpstr>
      <vt:lpstr>'CT4 Ref'!SQU</vt:lpstr>
      <vt:lpstr>'CT5 Ref'!SQU</vt:lpstr>
      <vt:lpstr>'CT5 Ref'!SSE</vt:lpstr>
      <vt:lpstr>'CT5 Ref'!SSJ</vt:lpstr>
      <vt:lpstr>'Escalade Ref'!SSX</vt:lpstr>
      <vt:lpstr>'Lyriq Ref'!SUZ</vt:lpstr>
      <vt:lpstr>SvcGross</vt:lpstr>
      <vt:lpstr>'Escalade IQ Ref'!TRO</vt:lpstr>
      <vt:lpstr>'Escalade Ref'!TRO</vt:lpstr>
      <vt:lpstr>'CT4 Ref'!VAS</vt:lpstr>
      <vt:lpstr>'CT5 Ref'!VAS</vt:lpstr>
      <vt:lpstr>'CT4 Ref'!VAV</vt:lpstr>
      <vt:lpstr>'CT5 Ref'!VAV</vt:lpstr>
      <vt:lpstr>'Escalade Ref'!VAV</vt:lpstr>
      <vt:lpstr>'Lyriq Ref'!VAV</vt:lpstr>
      <vt:lpstr>'Optiq Ref'!VAV</vt:lpstr>
      <vt:lpstr>'XT5 Ref'!VAV</vt:lpstr>
      <vt:lpstr>'XT5 Ref'!VEB</vt:lpstr>
      <vt:lpstr>'Lyriq Ref'!VLG</vt:lpstr>
      <vt:lpstr>'Optiq Ref'!VLG</vt:lpstr>
      <vt:lpstr>'Vistiq Ref'!VLG</vt:lpstr>
      <vt:lpstr>'XT5 Ref'!VLG</vt:lpstr>
      <vt:lpstr>'CT4 Ref'!VLI</vt:lpstr>
      <vt:lpstr>'CT5 Ref'!VLI</vt:lpstr>
      <vt:lpstr>'Lyriq Ref'!VLI</vt:lpstr>
      <vt:lpstr>'XT5 Ref'!VMP</vt:lpstr>
      <vt:lpstr>'Escalade Ref'!VNI</vt:lpstr>
      <vt:lpstr>'XT5 Ref'!VNI</vt:lpstr>
      <vt:lpstr>'XT5 Ref'!VQK</vt:lpstr>
      <vt:lpstr>'Lyriq Ref'!VQP</vt:lpstr>
      <vt:lpstr>'Vistiq Ref'!VQP</vt:lpstr>
      <vt:lpstr>'XT5 Ref'!VQP</vt:lpstr>
      <vt:lpstr>'Escalade IQ Ref'!VQQ</vt:lpstr>
      <vt:lpstr>'Escalade Ref'!VQQ</vt:lpstr>
      <vt:lpstr>'XT5 Ref'!VQQ</vt:lpstr>
      <vt:lpstr>'Escalade Ref'!VRS</vt:lpstr>
      <vt:lpstr>'Optiq Ref'!VRS</vt:lpstr>
      <vt:lpstr>'XT5 Ref'!VRS</vt:lpstr>
      <vt:lpstr>'CT5 Ref'!VRV</vt:lpstr>
      <vt:lpstr>'Escalade IQ Ref'!VRV</vt:lpstr>
      <vt:lpstr>'Lyriq Ref'!VRV</vt:lpstr>
      <vt:lpstr>'Optiq Ref'!VRV</vt:lpstr>
      <vt:lpstr>'Optiq Ref'!VSO</vt:lpstr>
      <vt:lpstr>'Optiq Ref'!VSP</vt:lpstr>
      <vt:lpstr>'Escalade IQ Ref'!VTB</vt:lpstr>
      <vt:lpstr>'Escalade Ref'!VTB</vt:lpstr>
      <vt:lpstr>'XT5 Ref'!VTB</vt:lpstr>
      <vt:lpstr>'CT4 Ref'!VYW</vt:lpstr>
      <vt:lpstr>'CT5 Ref'!VYW</vt:lpstr>
      <vt:lpstr>'Escalade IQ Ref'!VYW</vt:lpstr>
      <vt:lpstr>'Escalade Ref'!VYW</vt:lpstr>
      <vt:lpstr>'Lyriq Ref'!VYW</vt:lpstr>
      <vt:lpstr>'Optiq Ref'!VYW</vt:lpstr>
      <vt:lpstr>'Vistiq Ref'!VYW</vt:lpstr>
      <vt:lpstr>'XT5 Ref'!VYW</vt:lpstr>
      <vt:lpstr>'Escalade IQ Ref'!W0A</vt:lpstr>
      <vt:lpstr>'Lyriq Ref'!W0A</vt:lpstr>
      <vt:lpstr>'Optiq Ref'!W0A</vt:lpstr>
      <vt:lpstr>'Vistiq Ref'!W0A</vt:lpstr>
      <vt:lpstr>'XT5 Ref'!W0A</vt:lpstr>
      <vt:lpstr>'CT4 Ref'!W2D</vt:lpstr>
      <vt:lpstr>'CT5 Ref'!W2D</vt:lpstr>
      <vt:lpstr>'Escalade IQ Ref'!W2D</vt:lpstr>
      <vt:lpstr>'Escalade Ref'!W2D</vt:lpstr>
      <vt:lpstr>'Lyriq Ref'!W2D</vt:lpstr>
      <vt:lpstr>'Optiq Ref'!W2D</vt:lpstr>
      <vt:lpstr>'Vistiq Ref'!W2D</vt:lpstr>
      <vt:lpstr>'Escalade Ref'!WBC</vt:lpstr>
    </vt:vector>
  </TitlesOfParts>
  <Manager/>
  <Company>Hendrick Automotive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TempUser</dc:creator>
  <cp:keywords/>
  <dc:description/>
  <cp:lastModifiedBy>Shatto, Branden</cp:lastModifiedBy>
  <cp:revision/>
  <cp:lastPrinted>2025-02-05T12:18:34Z</cp:lastPrinted>
  <dcterms:created xsi:type="dcterms:W3CDTF">2020-01-06T19:54:18Z</dcterms:created>
  <dcterms:modified xsi:type="dcterms:W3CDTF">2025-11-24T16:23:16Z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0x010100CE5E0523921ED247BAD1EC3E261A1291</vt:lpwstr>
  </property>
</Properties>
</file>